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9.xml" ContentType="application/vnd.openxmlformats-officedocument.spreadsheetml.table+xml"/>
  <Override PartName="/xl/tables/table32.xml" ContentType="application/vnd.openxmlformats-officedocument.spreadsheetml.table+xml"/>
  <Override PartName="/xl/tables/table36.xml" ContentType="application/vnd.openxmlformats-officedocument.spreadsheetml.table+xml"/>
  <Override PartName="/xl/tables/table27.xml" ContentType="application/vnd.openxmlformats-officedocument.spreadsheetml.table+xml"/>
  <Override PartName="/xl/tables/table37.xml" ContentType="application/vnd.openxmlformats-officedocument.spreadsheetml.table+xml"/>
  <Override PartName="/xl/tables/table33.xml" ContentType="application/vnd.openxmlformats-officedocument.spreadsheetml.table+xml"/>
  <Override PartName="/xl/tables/table31.xml" ContentType="application/vnd.openxmlformats-officedocument.spreadsheetml.table+xml"/>
  <Override PartName="/xl/tables/table34.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8.xml" ContentType="application/vnd.openxmlformats-officedocument.spreadsheetml.table+xml"/>
  <Override PartName="/xl/tables/table30.xml" ContentType="application/vnd.openxmlformats-officedocument.spreadsheetml.table+xml"/>
  <Override PartName="/xl/tables/table25.xml" ContentType="application/vnd.openxmlformats-officedocument.spreadsheetml.table+xml"/>
  <Override PartName="/xl/tables/table35.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2.xml" ContentType="application/vnd.openxmlformats-officedocument.spreadsheetml.table+xml"/>
  <Override PartName="/xl/tables/table41.xml" ContentType="application/vnd.openxmlformats-officedocument.spreadsheetml.table+xml"/>
  <Override PartName="/xl/tables/table4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defaultThemeVersion="124226"/>
  <bookViews>
    <workbookView xWindow="65416" yWindow="65416" windowWidth="29040" windowHeight="15720" firstSheet="13" activeTab="1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Words" sheetId="10" r:id="rId10"/>
    <sheet name="Word Pairs" sheetId="11" r:id="rId11"/>
    <sheet name="Group Edges" sheetId="18" r:id="rId12"/>
    <sheet name="Time Series Edges" sheetId="22" state="hidden" r:id="rId13"/>
    <sheet name="Top Items" sheetId="21" r:id="rId14"/>
    <sheet name="Time Series" sheetId="23" r:id="rId15"/>
    <sheet name="Vertex Content" sheetId="24" r:id="rId16"/>
    <sheet name="Word List" sheetId="25" r:id="rId17"/>
    <sheet name="Network Top Items" sheetId="26" r:id="rId18"/>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9"/>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<sst xmlns="http://schemas.openxmlformats.org/spreadsheetml/2006/main" count="39094" uniqueCount="11488">
  <si>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</si>
  <si>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</si>
  <si>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</si>
  <si>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</si>
  <si>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</si>
  <si>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</si>
  <si>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</si>
  <si>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</si>
  <si>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</si>
  <si>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</si>
  <si>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</si>
  <si>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</si>
  <si>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</si>
  <si>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</si>
  <si>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</si>
  <si>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</si>
  <si>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</si>
  <si>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</si>
  <si>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</si>
  <si>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</si>
  <si>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</si>
  <si>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</si>
  <si>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</si>
  <si>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</si>
  <si>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</si>
  <si>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</si>
  <si>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</si>
  <si>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</si>
  <si>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</si>
  <si>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</si>
  <si>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</si>
  <si>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</si>
  <si>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</si>
  <si>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</si>
  <si>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</si>
  <si>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</si>
  <si>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</si>
  <si>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</si>
  <si>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</si>
  <si>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</si>
  <si>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</si>
  <si>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</si>
  <si>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</si>
  <si>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</si>
  <si>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</si>
  <si>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</si>
  <si>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</si>
  <si>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</si>
  <si>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</si>
  <si>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</si>
  <si>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</si>
  <si>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</si>
  <si>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</si>
  <si>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</si>
  <si>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</si>
  <si>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</si>
  <si>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</si>
  <si>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</si>
  <si>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</si>
  <si>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</si>
  <si>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</si>
  <si>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</si>
  <si>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</si>
  <si>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</si>
  <si>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</si>
  <si>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</si>
  <si>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</si>
  <si>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</si>
  <si>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</si>
  <si>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</si>
  <si>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</si>
  <si>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</si>
  <si>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</si>
  <si>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</si>
  <si>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</si>
  <si>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</si>
  <si>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</si>
  <si>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</si>
  <si>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</si>
  <si>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</si>
  <si>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</si>
  <si>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</si>
  <si>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</si>
  <si>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</si>
  <si>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</si>
  <si>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</si>
  <si>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</si>
  <si>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</si>
  <si>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</si>
  <si>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</si>
  <si>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</si>
  <si>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</si>
  <si>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</si>
  <si>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</si>
  <si>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</si>
  <si>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</si>
  <si>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</si>
  <si>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</si>
  <si>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</si>
  <si>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</si>
  <si>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</si>
  <si>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</si>
  <si>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</si>
  <si>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</si>
  <si>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</si>
  <si>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</si>
  <si>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</si>
  <si>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</si>
  <si>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</si>
  <si>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</si>
  <si>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</si>
  <si>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</si>
  <si>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</si>
  <si>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</si>
  <si>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</si>
  <si>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</si>
  <si>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</si>
  <si>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</si>
  <si>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</si>
  <si>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</si>
  <si>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</si>
  <si>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</si>
  <si>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</si>
  <si>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</si>
  <si>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</si>
  <si>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</si>
  <si>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</si>
  <si>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</si>
  <si>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</si>
  <si>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</si>
  <si>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</si>
  <si>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</si>
  <si>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</si>
  <si>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</si>
  <si>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</si>
  <si>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</si>
  <si>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</si>
  <si>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</si>
  <si>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</si>
  <si>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</si>
  <si>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</si>
  <si>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</si>
  <si>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</si>
  <si>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</si>
  <si>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</si>
  <si>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</si>
  <si>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</si>
  <si>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</si>
  <si>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</si>
  <si>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</si>
  <si>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</si>
  <si>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</si>
  <si>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</si>
  <si>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</si>
  <si>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</si>
  <si>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</si>
  <si>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</si>
  <si>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</si>
  <si>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</si>
  <si>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</si>
  <si>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</si>
  <si>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</si>
  <si>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</si>
  <si>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</si>
  <si>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</si>
  <si>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</si>
  <si>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</si>
  <si>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</si>
  <si>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</si>
  <si>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</si>
  <si>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</si>
  <si>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</si>
  <si>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</si>
  <si>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</si>
  <si>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</si>
  <si>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</si>
  <si>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</si>
  <si>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</si>
  <si>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</si>
  <si>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</si>
  <si>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</si>
  <si>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</si>
  <si>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</si>
  <si>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</si>
  <si>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</si>
  <si>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</si>
  <si>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</si>
  <si>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</si>
  <si>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</si>
  <si>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</si>
  <si>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</si>
  <si>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</si>
  <si>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</si>
  <si>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</si>
  <si>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</si>
  <si>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</si>
  <si>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</si>
  <si>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</si>
  <si>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</si>
  <si>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</si>
  <si>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</si>
  <si>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</si>
  <si>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</si>
  <si>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</si>
  <si>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</si>
  <si>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</si>
  <si>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</si>
  <si>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</si>
  <si>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</si>
  <si>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</si>
  <si>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</si>
  <si>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</si>
  <si>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</si>
  <si>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</si>
  <si>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</si>
  <si>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</si>
  <si>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</si>
  <si>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</si>
  <si>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</si>
  <si>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</si>
  <si>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</si>
  <si>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</si>
  <si>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rizkir4madani</t>
  </si>
  <si>
    <t>sahabat_bangsa</t>
  </si>
  <si>
    <t>l_kunti</t>
  </si>
  <si>
    <t>kasman76182831</t>
  </si>
  <si>
    <t>akalseh18332460</t>
  </si>
  <si>
    <t>pungpurwanto</t>
  </si>
  <si>
    <t>parahyanganpost</t>
  </si>
  <si>
    <t>kopirasamantap</t>
  </si>
  <si>
    <t>ahmadga18785105</t>
  </si>
  <si>
    <t>bve_kairi</t>
  </si>
  <si>
    <t>rustrijateng</t>
  </si>
  <si>
    <t>elzusmar3</t>
  </si>
  <si>
    <t>dlarsono</t>
  </si>
  <si>
    <t>zephmiss</t>
  </si>
  <si>
    <t>yeni_ekawati</t>
  </si>
  <si>
    <t>y_yoeng</t>
  </si>
  <si>
    <t>intanwarhani</t>
  </si>
  <si>
    <t>sjaifulskb</t>
  </si>
  <si>
    <t>81calra</t>
  </si>
  <si>
    <t>pengabdi99</t>
  </si>
  <si>
    <t>arif_hakim86</t>
  </si>
  <si>
    <t>saibooali</t>
  </si>
  <si>
    <t>pahmilubis10</t>
  </si>
  <si>
    <t>bonco19</t>
  </si>
  <si>
    <t>pakkumi93921831</t>
  </si>
  <si>
    <t>kurnia_awan85</t>
  </si>
  <si>
    <t>salamdaivaj</t>
  </si>
  <si>
    <t>harianto_zanuar</t>
  </si>
  <si>
    <t>fachniadin</t>
  </si>
  <si>
    <t>umiyati70812108</t>
  </si>
  <si>
    <t>ferden62480561</t>
  </si>
  <si>
    <t>elqtlqcri7fd9ng</t>
  </si>
  <si>
    <t>nurhanip3</t>
  </si>
  <si>
    <t>muhamma53050021</t>
  </si>
  <si>
    <t>caryantoawuy</t>
  </si>
  <si>
    <t>johnblack03</t>
  </si>
  <si>
    <t>fear37030</t>
  </si>
  <si>
    <t>ardchun</t>
  </si>
  <si>
    <t>lautpaku</t>
  </si>
  <si>
    <t>dennyindrayana</t>
  </si>
  <si>
    <t>vandinnie</t>
  </si>
  <si>
    <t>selamanyamulyo</t>
  </si>
  <si>
    <t>maknyinyik</t>
  </si>
  <si>
    <t>ahmadmuda19</t>
  </si>
  <si>
    <t>takon_wong</t>
  </si>
  <si>
    <t>dniupdate</t>
  </si>
  <si>
    <t>ramlirizal</t>
  </si>
  <si>
    <t>mmargani5</t>
  </si>
  <si>
    <t>hnurwahid</t>
  </si>
  <si>
    <t>salamdiaha</t>
  </si>
  <si>
    <t>domara_maman</t>
  </si>
  <si>
    <t>ellhafifie</t>
  </si>
  <si>
    <t>ahamad_ghazali</t>
  </si>
  <si>
    <t>enirositaa</t>
  </si>
  <si>
    <t>nfatqi</t>
  </si>
  <si>
    <t>hasan_rosadi</t>
  </si>
  <si>
    <t>ucoxregar</t>
  </si>
  <si>
    <t>salam_santun</t>
  </si>
  <si>
    <t>esupriatna20</t>
  </si>
  <si>
    <t>lovelyb1e</t>
  </si>
  <si>
    <t>reihan_djaya</t>
  </si>
  <si>
    <t>slamet_24wiro</t>
  </si>
  <si>
    <t>hudsuharg</t>
  </si>
  <si>
    <t>akmal16982665</t>
  </si>
  <si>
    <t>sindonews</t>
  </si>
  <si>
    <t>nyaiibubu</t>
  </si>
  <si>
    <t>mdy_asmara1701</t>
  </si>
  <si>
    <t>bijaksan4</t>
  </si>
  <si>
    <t>s_cintanirmala</t>
  </si>
  <si>
    <t>manisewidiarti</t>
  </si>
  <si>
    <t>odang4z</t>
  </si>
  <si>
    <t>marieberubah</t>
  </si>
  <si>
    <t>rizalmedian</t>
  </si>
  <si>
    <t>awakblangdalam</t>
  </si>
  <si>
    <t>rakyatkecik</t>
  </si>
  <si>
    <t>terapungkembali</t>
  </si>
  <si>
    <t>hermin165</t>
  </si>
  <si>
    <t>sys_cak</t>
  </si>
  <si>
    <t>livia_elly</t>
  </si>
  <si>
    <t>heindrahayyun1</t>
  </si>
  <si>
    <t>mr_arogan_</t>
  </si>
  <si>
    <t>masyarakat2021</t>
  </si>
  <si>
    <t>mdariusdah</t>
  </si>
  <si>
    <t>news_jubi</t>
  </si>
  <si>
    <t>rudyhar51284265</t>
  </si>
  <si>
    <t>yparkjihoon</t>
  </si>
  <si>
    <t>rahmaniarbaftim</t>
  </si>
  <si>
    <t>rizki_reza24</t>
  </si>
  <si>
    <t>imronbiz</t>
  </si>
  <si>
    <t>anjariuss</t>
  </si>
  <si>
    <t>imamsunartoarif</t>
  </si>
  <si>
    <t>kretek_mantab</t>
  </si>
  <si>
    <t>oposisicerdas</t>
  </si>
  <si>
    <t>rasyeed_amree</t>
  </si>
  <si>
    <t>amrullahkareem1</t>
  </si>
  <si>
    <t>naylaazkiaa</t>
  </si>
  <si>
    <t>reflyhz</t>
  </si>
  <si>
    <t>jokolipservice</t>
  </si>
  <si>
    <t>krmtroysuryo2</t>
  </si>
  <si>
    <t>nasirudin_manan</t>
  </si>
  <si>
    <t>fahrihamzah</t>
  </si>
  <si>
    <t>rachman_ayah</t>
  </si>
  <si>
    <t>dek_bintank</t>
  </si>
  <si>
    <t>presedentbuzzer</t>
  </si>
  <si>
    <t>dikisoesanto</t>
  </si>
  <si>
    <t>salamduadj</t>
  </si>
  <si>
    <t>democrazymedia</t>
  </si>
  <si>
    <t>pmf_qu</t>
  </si>
  <si>
    <t>tempodotco</t>
  </si>
  <si>
    <t>alvinlie21</t>
  </si>
  <si>
    <t>hisyammochtar</t>
  </si>
  <si>
    <t>musniumar</t>
  </si>
  <si>
    <t>msaid_didu</t>
  </si>
  <si>
    <t>cnnindonesia</t>
  </si>
  <si>
    <t>mardanialisera</t>
  </si>
  <si>
    <t>keuangannews_id</t>
  </si>
  <si>
    <t>geiszchalifah</t>
  </si>
  <si>
    <t>geloraco</t>
  </si>
  <si>
    <t>nenkmonica</t>
  </si>
  <si>
    <t>fahiraidris</t>
  </si>
  <si>
    <t>raka_shiwie</t>
  </si>
  <si>
    <t>ayuannara</t>
  </si>
  <si>
    <t>lanyallamm1</t>
  </si>
  <si>
    <t>tvonenews</t>
  </si>
  <si>
    <t>febridiansyah</t>
  </si>
  <si>
    <t>bahlillahadalia</t>
  </si>
  <si>
    <t>yosnggarang</t>
  </si>
  <si>
    <t>menang2024</t>
  </si>
  <si>
    <t>kompastv</t>
  </si>
  <si>
    <t>alisyarief</t>
  </si>
  <si>
    <t>taufiqa27</t>
  </si>
  <si>
    <t>sailabi1</t>
  </si>
  <si>
    <t>papa_loren</t>
  </si>
  <si>
    <t>tan_mar3m</t>
  </si>
  <si>
    <t>jokowi</t>
  </si>
  <si>
    <t>changeorg_id</t>
  </si>
  <si>
    <t>refrizalskb</t>
  </si>
  <si>
    <t>mohmahfudmd</t>
  </si>
  <si>
    <t>matanajwa</t>
  </si>
  <si>
    <t>panca66</t>
  </si>
  <si>
    <t>1keadilan</t>
  </si>
  <si>
    <t>helmifelis_</t>
  </si>
  <si>
    <t>ummat_kotadepok</t>
  </si>
  <si>
    <t>dpp_partaiummat</t>
  </si>
  <si>
    <t>dppgardaummat</t>
  </si>
  <si>
    <t>mskaban3</t>
  </si>
  <si>
    <t>buniyani1</t>
  </si>
  <si>
    <t>ridhorahmadi85</t>
  </si>
  <si>
    <t>amien__rais</t>
  </si>
  <si>
    <t>hendri78chniago</t>
  </si>
  <si>
    <t>ruhutsitompul</t>
  </si>
  <si>
    <t>divhumas_polri</t>
  </si>
  <si>
    <t>megapkeliduan</t>
  </si>
  <si>
    <t>ganjarpranowo</t>
  </si>
  <si>
    <t>__rismawidiono_</t>
  </si>
  <si>
    <t>bima_____</t>
  </si>
  <si>
    <t>sonyareksby</t>
  </si>
  <si>
    <t>doankwarto</t>
  </si>
  <si>
    <t>abajijeh</t>
  </si>
  <si>
    <t>ilctalkshow</t>
  </si>
  <si>
    <t>bisniscom</t>
  </si>
  <si>
    <t>unj_official</t>
  </si>
  <si>
    <t>aheryawan</t>
  </si>
  <si>
    <t>tifsembiring</t>
  </si>
  <si>
    <t>giginpraginanto</t>
  </si>
  <si>
    <t>officialmkri</t>
  </si>
  <si>
    <t>fpksdprri</t>
  </si>
  <si>
    <t>pksejahtera</t>
  </si>
  <si>
    <t>puanmaharani_ri</t>
  </si>
  <si>
    <t>khofifahip</t>
  </si>
  <si>
    <t>prabowo</t>
  </si>
  <si>
    <t>rockygerung_rg</t>
  </si>
  <si>
    <t>aniesbaswedan</t>
  </si>
  <si>
    <t>ridwankamil</t>
  </si>
  <si>
    <t>marlina_idha</t>
  </si>
  <si>
    <t>z3n7h03n7</t>
  </si>
  <si>
    <t>dta_pntra</t>
  </si>
  <si>
    <t>smartizen_</t>
  </si>
  <si>
    <t>nicho_silalahi</t>
  </si>
  <si>
    <t>anunksalsabiel1</t>
  </si>
  <si>
    <t>pdemokrat</t>
  </si>
  <si>
    <t>_rizmaya__</t>
  </si>
  <si>
    <t>ayanimel</t>
  </si>
  <si>
    <t>mghufro38074283</t>
  </si>
  <si>
    <t>iwi18297130</t>
  </si>
  <si>
    <t>partaigolkar</t>
  </si>
  <si>
    <t>gerindra</t>
  </si>
  <si>
    <t>fadlizon</t>
  </si>
  <si>
    <t>onlyfrens</t>
  </si>
  <si>
    <t>tamsilinrung</t>
  </si>
  <si>
    <t>knpiharis</t>
  </si>
  <si>
    <t>sutanmangara</t>
  </si>
  <si>
    <t>knpimediacentre</t>
  </si>
  <si>
    <t>bang_ramzan</t>
  </si>
  <si>
    <t>jansen_jsp</t>
  </si>
  <si>
    <t>uyokback</t>
  </si>
  <si>
    <t>erickthohir</t>
  </si>
  <si>
    <t>official_pan</t>
  </si>
  <si>
    <t>zul_hasan</t>
  </si>
  <si>
    <t>dimasakbarz</t>
  </si>
  <si>
    <t>dpdri</t>
  </si>
  <si>
    <t>yanharahap</t>
  </si>
  <si>
    <t>bemui_official</t>
  </si>
  <si>
    <t>listyosigitp</t>
  </si>
  <si>
    <t>molfina14</t>
  </si>
  <si>
    <t>hdsambodo</t>
  </si>
  <si>
    <t>yudikuncoro505</t>
  </si>
  <si>
    <t>deslini2</t>
  </si>
  <si>
    <t>jamlean_saleh</t>
  </si>
  <si>
    <t>putunmy</t>
  </si>
  <si>
    <t>cintada68225244</t>
  </si>
  <si>
    <t>ngalalakon</t>
  </si>
  <si>
    <t>halaman_qu</t>
  </si>
  <si>
    <t>situkangutang_0</t>
  </si>
  <si>
    <t>ilham2504</t>
  </si>
  <si>
    <t>nurasyor</t>
  </si>
  <si>
    <t>pajakagus</t>
  </si>
  <si>
    <t>allmumtadz</t>
  </si>
  <si>
    <t>januar_malki</t>
  </si>
  <si>
    <t>hidayatnatari</t>
  </si>
  <si>
    <t>kasuk12kp</t>
  </si>
  <si>
    <t>anto1157</t>
  </si>
  <si>
    <t>there91194264</t>
  </si>
  <si>
    <t>zahra42981574</t>
  </si>
  <si>
    <t>dantespeak_usa_</t>
  </si>
  <si>
    <t>ihexelio</t>
  </si>
  <si>
    <t>cordovareborn</t>
  </si>
  <si>
    <t>zay34562</t>
  </si>
  <si>
    <t>f1rmanh</t>
  </si>
  <si>
    <t>dewimajid4</t>
  </si>
  <si>
    <t>jangkrikgengg15</t>
  </si>
  <si>
    <t>ikotjo2</t>
  </si>
  <si>
    <t>wartegperjuang1</t>
  </si>
  <si>
    <t>boetix</t>
  </si>
  <si>
    <t>sholihaly</t>
  </si>
  <si>
    <t>belangtiga</t>
  </si>
  <si>
    <t>s3creth_m4nz</t>
  </si>
  <si>
    <t>namatanpaspasi</t>
  </si>
  <si>
    <t>ikotjo22</t>
  </si>
  <si>
    <t>sanusiundins</t>
  </si>
  <si>
    <t>youtube</t>
  </si>
  <si>
    <t>lanyallaacademy</t>
  </si>
  <si>
    <t>ontohbrontoh</t>
  </si>
  <si>
    <t>yosephrosario_</t>
  </si>
  <si>
    <t>psi_id</t>
  </si>
  <si>
    <t>convomf</t>
  </si>
  <si>
    <t>taharudddin</t>
  </si>
  <si>
    <t>abu_waras</t>
  </si>
  <si>
    <t>argentianaa</t>
  </si>
  <si>
    <t>jul3arhma3</t>
  </si>
  <si>
    <t>rayashanum1</t>
  </si>
  <si>
    <t>bosradikal</t>
  </si>
  <si>
    <t>eddyroyady</t>
  </si>
  <si>
    <t>syafniir</t>
  </si>
  <si>
    <t>partaigeloraid</t>
  </si>
  <si>
    <t>susipudjiastuti</t>
  </si>
  <si>
    <t>acoybk</t>
  </si>
  <si>
    <t>adhiemassardi</t>
  </si>
  <si>
    <t>bumnbersatu</t>
  </si>
  <si>
    <t>Mentions</t>
  </si>
  <si>
    <t>Replies to</t>
  </si>
  <si>
    <t>MentionsInReplyTo</t>
  </si>
  <si>
    <t>Quote</t>
  </si>
  <si>
    <t>MentionsInQuote</t>
  </si>
  <si>
    <t>Assalamu'alaikum Wr Wb. Ini Hasil Survei Charta Politika: Ganjar Unggul Telak 71,5 Persen di Jawa Tengah, Puan Nol Koma. Salam Kopi ☕ Pagi♥️_xD83C__xDDF2__xD83C__xDDE8_ Sobat Tweps Yg Cihuyy ☕_xD83D__xDEAC_ Slalu.. Tetap Semangat Dlm Aktivitas Dan Bahagia Di Pagi Hari Yg Ceria Ini.. ✊_xD83C__xDDF2__xD83C__xDDE8_
 https://t.co/86I0oDKTBu</t>
  </si>
  <si>
    <t>Salam NOL PERSEN... Dr. Rizal Ramli dan Ketua DPD, satu suara untuk memperjuangkan penghapusan THRESHOLD dlm pemilihan pemimpin di berbagai level (daerah hingga nasional) agar demokrasi bekerja dgn amanah &amp;amp; bersih dari kekuatan oligarki (bandar/ cukong)
@RamliRizal @LaNyallaMM1 https://t.co/tSXSKjRl61</t>
  </si>
  <si>
    <t>@tvOneNews Jgn terlalu berharap loe nol persen,air banjir di bilang parkir n kaki trans portasi dasar kerja tidak tau,,,
Berharap jadi RI 1 mimpi loe
Tuhan tidak tidur,,,
Mendeka
Salam waras</t>
  </si>
  <si>
    <t>@febridiansyah Dima kampuang da. 
Ambo Batusangka. 
Nagari Pariangan. 
Katonyo salah satu Nagari terindah (?) di dunia. 
Pak Jokowi pun lah datang ka nagagari tersebut. 
Salam integritas dan salam nol persen.</t>
  </si>
  <si>
    <t>@yosnggarang @bahlillahadalia Salam nol persen.</t>
  </si>
  <si>
    <t>@ZulkhairyLw89 @GeiszChalifah Salam nol persen saja deh...  !!
_xD83D__xDC4D__xD83D__xDC4D__xD83D__xDC4D_</t>
  </si>
  <si>
    <t>@KompasTV Salam PT nol persen.</t>
  </si>
  <si>
    <t>#SALAM NOL PERSEN SAJA DEH.</t>
  </si>
  <si>
    <t>@democrazymedia SALAM  PT  NOL PERSEN.....!!</t>
  </si>
  <si>
    <t>@GeiszChalifah Salam nol persen bang....!! 
_xD83D__xDE05__xD83D__xDE05_</t>
  </si>
  <si>
    <t>Daftarkan Gugatan Presidential Threshold ke MK, Refly Harun dan Ferry Juliantono: Salam Nol Persen https://t.co/kGx10wgoq9</t>
  </si>
  <si>
    <t>Waduhhh, melihat perkembangan dalam beberapa minggu ini, kelihatanya bakalan tidak bisa tidur nyenyak, konssolidasi posisi semakin kokoh, ngerinya lgi ada statemen dari negeri paman sam yg ngeri2 sedap, ada salam nol persen sampai lagu anyar 2024 gantian presiden..</t>
  </si>
  <si>
    <t>#salamNolPersen</t>
  </si>
  <si>
    <t>@alisyarief Mendingan pecintraan ketimbang munafik seperti junjunganmu Anis. Salam nol dp persen buat pendukung Anis</t>
  </si>
  <si>
    <t>@taufiqa27 @geloraco Semua manusia punya salah dan dosa apalagi seperti saya yg penuh dosa yg penting manusia mengakui dosanya dan bertaubat, tapi sayang golongannmu sok suci sok bersih alias munafik. Salam nol dp persen buat kamu.</t>
  </si>
  <si>
    <t>@Mdy_Asmara1701 Anis munafik sekali munafik selamanya tetap munapik salam nol dp persen dan oce oke salam air hujan masuk ketanah bukan masuk gorong gorong raksasa kelaut.</t>
  </si>
  <si>
    <t>@geloraco Anis unggul munafiknya salam oce oke,nol dp persen,</t>
  </si>
  <si>
    <t>@musniumar Anda seorang munafik sama dengan junjunganmu Anis, salam nol dp persen dan salam air hujan masuk ketanah bukan masuk gorong gorong raksasa kelaut.</t>
  </si>
  <si>
    <t>Salam Nol Persen (PCR)</t>
  </si>
  <si>
    <t>Salam... Bahagianya Warga Jateng Dapat Rumah DP Nol Persen dari Ganjar - MSN https://t.co/o0H9w75r9I</t>
  </si>
  <si>
    <t>@SalamDiahA #PeriksaAnakLurah 
#PeriksaAnakLurah 
Salam nol persen, maju terus pantang mundur</t>
  </si>
  <si>
    <t>@msaid_didu @Sailabi1 Sedang berada dimana nih Bung Said Didu? Salam, NOL Persen bung!</t>
  </si>
  <si>
    <t>Partai KONGRES Dukung PT 0 %.
Salam, NOL Persen.</t>
  </si>
  <si>
    <t>@fahiraidris SMG Allah lancarkan dan mudahkan smua proses dan Allah ridhoi sgl bntuk ikhtiar ini shg Indonesia kmbali berjaya tanpa oligarki #salamnolpersen #salamnolpersen</t>
  </si>
  <si>
    <t>@DrEvaChaniago @Siajapul @ReflyHZ Salam Nol Persen buDok !
Wapres bole
Menkes oke</t>
  </si>
  <si>
    <t>@papa_loren Salam nol persen..</t>
  </si>
  <si>
    <t>@keuangannews_id Salam nol persen</t>
  </si>
  <si>
    <t>@msaid_didu Penting nya dari kecil di didik agar tidak suka berhutang..dan mempunyai jiwa tangung jawab yg penuh.salam nol persen</t>
  </si>
  <si>
    <t>@CNNIndonesia Salam nol persen ajah</t>
  </si>
  <si>
    <t>@Markonah_003 Salam nol persen</t>
  </si>
  <si>
    <t>@jokowi salam nol persen</t>
  </si>
  <si>
    <t>@ReflyHZ keren 
#SALAMNOLPERSEN</t>
  </si>
  <si>
    <t>Di Indonesia ini mestinya bisa juga. 
#SalamNolPersen https://t.co/n4wZCqDxCa</t>
  </si>
  <si>
    <t>Salam 0%
Mahkamah konstitusi Republik Indonesia: Presidential threshold nol persen - Tandatangani Petisi! https://t.co/5ziIdYNDhX lewat @ChangeOrg_ID</t>
  </si>
  <si>
    <t>@msaid_didu Salam nol persen</t>
  </si>
  <si>
    <t>Ada ngak perusahaan Indonesia dicina yg pajaknya nol persen
Salam pancasila</t>
  </si>
  <si>
    <t>Salam nol persen..
Mahkamah konstitusi Republik Indonesia: Presidential threshold nol persen - Tandatangani Petisi! https://t.co/dZN6W3w5kg lewat @ChangeOrg_ID</t>
  </si>
  <si>
    <t>@refrizalskb Salam nol persen</t>
  </si>
  <si>
    <t>Perjuangan belum berakhir, salam nol persen</t>
  </si>
  <si>
    <t>salam nol persen...</t>
  </si>
  <si>
    <t>@fahiraidris Aamiin..Perjuangan menegakkan demokrasi belum usai..semoga berhasil #SalamNolPersen</t>
  </si>
  <si>
    <t>Berkali2 MK menolak PT 0% karna mengacu pd legal standing pasal 6a UUD 45 
pdhl yg punya hak pilih itu adalah 
Rakyat bukan partai politik
Salam Nol Persen
#DprMprMati</t>
  </si>
  <si>
    <t>Keren..
Support #SalamNolpersen</t>
  </si>
  <si>
    <t>@msaid_didu @mohmahfudmd hny ngomong saja tnp solusi,mngknya kita ingin pemimpin yg akan datang benar2 tdk masuk dlm lingkaran setan mafia Hukum dan mafia ekonomi
#SalamNolPersen thershold</t>
  </si>
  <si>
    <t>Ada Asa. 
Salam Nol Persen. 
#MurahinKebutuhanPokok
#MurahinKebutuhanPokok
"Kalau sekarang ini dalam permohonan ini ada alasan baru dan itu harus dipertimbangkan oleh majelis, bisa saja mungkin ada perubahan dalam pendirian daripada Mahkamah,"
https://t.co/GE6kbubWs3</t>
  </si>
  <si>
    <t>Sebentar lagi kan menjelang_xD83D__xDE09_
Salam Nol Persen_xD83D__xDC4C_</t>
  </si>
  <si>
    <t>@MataNajwa Yang Cerdas dan pinter membuat kebijakan2 yang tidak relevan buat rakyat nya dan kerja nya Cuman Untuk Membodohi Rakyat nya_xD83D__xDE4F__xD83D__xDE37_
#revolusiakhlaq
#salamnolpersen</t>
  </si>
  <si>
    <t>@tvOneNews Penguasa Hukum Harus Siap Menegakkan Keadilan Bagi Para Pembunuh.
#salamnolpersen</t>
  </si>
  <si>
    <t>@panca66 Ngasih nya sedikit susah nya banyak
#salamnolpersen</t>
  </si>
  <si>
    <t>@1keadilan Salam nol persen bang. Maksudnya suara partai lu di pemilu ntar hehe</t>
  </si>
  <si>
    <t>@Helmi_Felis @AlloEfrat Trus lu ngerasa sukses gitu jadi humas partai gurem? Susah amat sih menghargai kepercayaan orang laen, kaya lu udah pasti masuk surga aja. Sampah pecundang politik ya kaya lu ini. Seumur idup cuma bisa ngamuk2. Salam nol koma nol nol persen</t>
  </si>
  <si>
    <t>@hendri78chniago @Amien__Rais @RidhoRahmadi85 @TofaTofa_id @Buniyani1 @MSKaban3 @DPPGardaummat @DPP_PartaiUmmat @DjudjuP @Ummat_DIY @Ummat_KotaDepok Oh merdeka dari 1% ya om? Salam nol koma nol nol nol sekian persen!!! https://t.co/Wz1JpR9Fcl</t>
  </si>
  <si>
    <t>@hendri78chniago Salam nol persen suara partai lu ya? Bener banget hahahaha https://t.co/celAzCtG0u</t>
  </si>
  <si>
    <t>@ReflyHZ #SalamNolPersen</t>
  </si>
  <si>
    <t>@OposisiCerdas Insya Allah ini dikabulkan,
Salam Bulan Bintang,
Salam Nol Persen _xD83D__xDC4C__xD83D__xDC4C_</t>
  </si>
  <si>
    <t>@ReflyHZ Salam nol persen 
Semoga bang RH sehat selalu</t>
  </si>
  <si>
    <t>@MegaPKeliduan @DivHumas_Polri @ruhutsitompul Mantap!!
Biar dia orang gak sembarangan kalo mangap. Bravo akal sehat dan Salam nol persen!!</t>
  </si>
  <si>
    <t>@ReflyHZ #SALAMNOLPERSEN</t>
  </si>
  <si>
    <t>@__RismaWidiono_ @ganjarpranowo Salam kenal sebelumnya kakak Risma, ini bukti kerja nyata buat warganya dari seorang gubernur yang rendah hati mau membantu masyarakyat untuk mendapatkan hunian yang layak, tanpa embel embel nol persen terbukti bisa terlaksana pembangunannya.
#SahabatGanjar</t>
  </si>
  <si>
    <t>@bima_____ @RamliRizal jokwi di prcy?_xD83E__xDD23_ 
salam nol persen _xD83D__xDE0E__xD83D__xDC4C_</t>
  </si>
  <si>
    <t>@democrazymedia tidak Terkejut ketika kader PDIP korup ?
ajaib sekali partai ini, pantas BUBAR, salam nol persen presidential treshold !!!</t>
  </si>
  <si>
    <t>Kali ini bilang COCOK jd gubernur, lah tiap hr anda skeptis apatis autis klitoris, terlihat kepanikan partai anda yg tdk pny calon secemerlang gub. DKI yg tdk jualan wajah lwt baliHOO
_xD83D__xDE04_ _xD83D__xDE04_ #JokowiGagal
#JendralBalihoAntiUlama
#TangkapFerdinand
#presiden
#salamnolpersen</t>
  </si>
  <si>
    <t>Inilah tagarnya akun ternak jokowi
BuzzeRp
BuzzeRp
BuzzeRp
Jd lupa kan siapa yg teror pala anjing?
Lupa kasus km50?
Tetap fokus
Salam nol persen
_xD83D__xDE04_ _xD83D__xDE04_ _xD83D__xDE04_
Titip tagar BLOON kecebong 
#BebaskanFerdinand</t>
  </si>
  <si>
    <t>@maspiyuaja @SonyArekSby SALAM NOL PERSEN</t>
  </si>
  <si>
    <t>@bima_____ @RamliRizal Salam Nol Persen...@ReflyHZ , dukung penuh</t>
  </si>
  <si>
    <t>Salam Nol Persen</t>
  </si>
  <si>
    <t>https://t.co/BKYtLcah8z SALAM NOL PERSEN</t>
  </si>
  <si>
    <t>Salam Nol Persen https://t.co/Iv9JhrjRUY</t>
  </si>
  <si>
    <t>@Mdy_Asmara1701 junjungan dan penjilatnya sama saja ber bachot lont3 emperan.... ngoaahahahaaaaAsu.... salam DP nol persen..... _xD83E__xDD23__xD83E__xDD23__xD83E__xDD23__xD83E__xDD23_</t>
  </si>
  <si>
    <t>Ambang batas pencalonan presiden (presidential threshold) adalah salah satu hambatan utama hadirnya pemimpin amanah melalui proses pemilu yang jujur dan adil (free and fair election). 
https://t.co/O7yvMAcSPM</t>
  </si>
  <si>
    <t>Melawan Oligarki Cukup Dengan Presidential Threshold.
Cukong Selama ini yang Merusak tatanan Demokrasi Bangsa Indonesia.
#SalamNolPersen https://t.co/72ASGcUDWt</t>
  </si>
  <si>
    <t>Mendukung Parlemen Theshold sama dengan Melawan Kekuatan Oligarki..!!!!!!!!!
Yuk Dukung PT 0% untuk syarat Capres dan Cawapres 2024.
Oligarki Tumbang ... 
INDONESIA ADIL DAN MAKMUR
_xD83C__xDDEE__xD83C__xDDE9__xD83C__xDDEE__xD83C__xDDE9__xD83C__xDDEE__xD83C__xDDE9__xD83C__xDDEE__xD83C__xDDE9__xD83C__xDDEE__xD83C__xDDE9__xD83C__xDDEE__xD83C__xDDE9__xD83C__xDDEE__xD83C__xDDE9__xD83C__xDDEE__xD83C__xDDE9_
#salamNolPersen
#innallillahi
#walikotabandung
#GoPay https://t.co/1VfoXVwm8f</t>
  </si>
  <si>
    <t>#gugatpresidentialthreshold 
#SalamNolPersen</t>
  </si>
  <si>
    <t>Salam Nol Persen
Berani Bangkit Indonesia Kuat
#gugatpresidentialthreshold 
#hapuspt20persen 
#presidentielles2022</t>
  </si>
  <si>
    <t>@democrazymedia BISMILLAH Profesor .. 
Semoga niat untuk menghukum mati para Koruptor bisa dilakukan dengan Salam NOL persen .._xD83C__xDDF2__xD83C__xDDE8_</t>
  </si>
  <si>
    <t>@AbaJijeh @DoankWarto Puas dikasih parkir air, puas dikasih sumur resapan puas mandang tugu tuguan, puas dapat oke ocrot, puas DP nol persen kebeli, puas lihat kali ditutup waring, puas mandang genting warna warni..? Salam akal sehat..</t>
  </si>
  <si>
    <t>@YoutubeILC Salam untuk Ahmad Yani. Salam 0 Persen. Ayo saudara Ahmad Yani ikut berjuang untuk PT Nol Persen</t>
  </si>
  <si>
    <t>@Bisniscom Biyar tidak tersandera oleh jasa2 orang lain presiden musti orang baru yaitu pak mardigu wp _xD83E__xDD23__xD83E__xDD23__xD83E__xDD23_ 
Salam nol persen!</t>
  </si>
  <si>
    <t>Daftarkan gugatan PT ke MK, Refly Harun: salam nol persen https://t.co/GaYXnm4LZX</t>
  </si>
  <si>
    <t>Sangat wajar jika mahasiswa, civitas akademik dan Rektor Universitas Negeri Jakarta (UNJ) bangga dgn dosennya Ubaidillah Badrun, yg memiliki integritas moral, akademik dan historis untuk membuat Indonesia bersih KKN. Itu bagian dari Tri Darma PT _xD83D__xDC4D__xD83D__xDC4D_ @UNJ_Official</t>
  </si>
  <si>
    <t>@MardaniAliSera @PKSejahtera @hnurwahid @FPKSDPRRI @fahiraidris @tifsembiring @aheryawan PKS harus serius Dukung JR ke MK HAPUSKAN PT 20% agar muncul Pemimpin Sejati bukan BONEKA OLIGARKI...
SALAM NOL PERSEN!</t>
  </si>
  <si>
    <t>@giginpraginanto Menjadi satu2nya partai yg dpt mengusung capres sendiri tanpa hrs berkoalisi dgn partai lain membuat mrk lupa diri bahkan jumawa dan ini takkan trjd jika tdk ada PT20%.
Salam Nol Persen!_xD83D__xDC48__xD83D__xDE0E_☝</t>
  </si>
  <si>
    <t>@RamliRizal @officialMKRI Bismillah...SALAM NOL PERSEN‼️</t>
  </si>
  <si>
    <t>RUU IKN dikebut dan akhirnya diputuskan pd dini hari tadi. Anggota @FPKSDPRRI tetap perjuangkan sikapnya yg juga aspirasi banyak pihak dan banyak pakar, PKS menolak RUU IKN.</t>
  </si>
  <si>
    <t>SALAM NOL PERSEN
Presidential Threshold. 
#PeriksaAnakLurah 
#PeriksaAnakLurah https://t.co/VWTQb33R76</t>
  </si>
  <si>
    <t>@timurandproud Sy kira dgn adanya PT 20%, partai politik dlm hal rekrutmen seorang presiden hnya diambil dr keputusan dari segelintir elite di partai politik semata. Sy myakini bahwa PT 20% mnjadi ladang basah utk mmuluskan jalanny oligarki kekuasaan.
Terimakasih ilmunya, salam PT nol persen.</t>
  </si>
  <si>
    <t>Paling asyik untuk 2024, mungkin gk ya ada tiga calon presiden wapres bung @rockygerung_rg ? @prabowo @ridwankamil , @aniesbaswedan @KhofifahIP , dan  @mohmahfudmd @puanmaharani_ri huahaha salam nol persen bung.. . Knp PDIP gk ngambil @mohmahfudmd @puanmaharani_ri , seru ini bung</t>
  </si>
  <si>
    <t>@La_Hamu @marlina_idha @aniesbaswedan Salam nol dp persen dan oce oke dan reklamasi buat orang munafik</t>
  </si>
  <si>
    <t>@z3n7h03n7 @GeiszChalifah Bangun stadion pinjam dana kepusat lo banggain drun. Salam nol dp persen dan oce oke dan reklamasi munafik.</t>
  </si>
  <si>
    <t>@__dtya_ @Mdy_Asmara1701 Itulah laki laki apa adanya ngga munapik Kya Anis salam Oce oke dan nol DP persen buat gaji 7 juta kebawah dan</t>
  </si>
  <si>
    <t>@GeiszChalifah Bikin stadion pinjam dana kepusat lo banggain drun. Salam nol dp persen dan oce oke dan reklamasi munafik.</t>
  </si>
  <si>
    <t>@OposisiCerdas Salam munafik oce oke dan nol dp persen</t>
  </si>
  <si>
    <t>@papa_loren #SalamNolPersen</t>
  </si>
  <si>
    <t>@smartizen_ #SalamNolPersen</t>
  </si>
  <si>
    <t>@Nicho_Silalahi #SalamNolPersen</t>
  </si>
  <si>
    <t>@AnunkSalsabiel1 salam nol persen</t>
  </si>
  <si>
    <t>@Rizmaya__ @Galih_Akek2 @PDemokrat Titip salam, kalau pengin nol persen, jadikan aja DP rusun, kalau nggak ya suruh nyalon kades aja.</t>
  </si>
  <si>
    <t>Salam nol persen</t>
  </si>
  <si>
    <t>@AyaniMel Bagus lah klo nol persen,ketimbang gubenur2 sebelumnya mines semua,jauh dari nol.</t>
  </si>
  <si>
    <t>@fahiraidris Salam nol persen</t>
  </si>
  <si>
    <t>@geloraco Jadi benar sistem pt ini harus di hapus,salam nol persen</t>
  </si>
  <si>
    <t>Refly Harun
"PT nol persen ... rakyat sudah kehabisan akal dgn putusan MK
Kalo MK benar2 pengawal konstitusi dia akan membatalkan PT nol .. tapi sepertinya MK adalah kepanjangan tangan dari kekuasaan" https://t.co/jTQWyQ9NKi</t>
  </si>
  <si>
    <t>@Iwi18297130 @MGhufro38074283 _xD83D__xDCE6_ di _xD83D__xDD13_ isinya _xD83D__xDCA9_
#SalamRevolusiAkhlak
#SalamNolPersen</t>
  </si>
  <si>
    <t>@msaid_didu Salam NOL PERSEN _xD83D__xDC4C__xD83D__xDC4C__xD83D__xDC4C_</t>
  </si>
  <si>
    <t>@EnggalPamukty @vivayogamauladi @Official_PAN Semua bergerak spt bola es semakin besar menjadi gerakan penyadaran masyarakat menyelamatkan negeri ini yg spt kesirep mimpi panjang ....SALAM NOL PERSEN ...@fadlizon @PKSejahtera @Gerindra @PartaiGolkar @fahiraidris @DPDRI</t>
  </si>
  <si>
    <t>@fahiraidris @dpdridkijakarta @tamsilinrung Mantap ibu salam NOL persen</t>
  </si>
  <si>
    <t>@sutanmangarahrp Negeri ini seperti kesirep...penuh mimpi ayo lekas bangun @knpiharis kembalikan hak rakyat berdemokrasi SALAM NOL PERSEN</t>
  </si>
  <si>
    <t>@oppositesurau @knpiharis bang mestinya @KNPIMediaCentre beramai ramai gugat PT karena akan mematikan genarasi baru Indonesia yang cemerlang nggak bs jadi presiden . SALAM NOL PERSEN</t>
  </si>
  <si>
    <t>@jansen_jsp Salam PT NOL persen kalo ingin negeri ini punya pemimpin berkualitas memang pilihan rakyat bukan pilihan oligarki</t>
  </si>
  <si>
    <t>@UyokBack SALAM NOL PERSEN PT ...@ReflyHZ  @RamliRizal</t>
  </si>
  <si>
    <t>@dimasakbarz @ZUL_Hasan @aniesbaswedan @ridwankamil @Official_PAN @erickthohir Berharap nyata @Official_PAN sekarang rakyat terbelah dg isu Rasial ; Agama ; Suku  begitu nyata dan parlemen spt berdiam diri . #SalamNolPersen</t>
  </si>
  <si>
    <t>80,4% Masyarakat Jatim Ingin Presidential Threshold 0%
https://t.co/Lyth9ApJoD</t>
  </si>
  <si>
    <t>@Sahabat_Bangsa SALAM NOL PERSEN</t>
  </si>
  <si>
    <t>@YanHarahap Rakyat mendukung @DPDRI Salam NOL persen</t>
  </si>
  <si>
    <t>@hnurwahid Langsung jd pemohon JR ke @officialMKRI gus ...apalagi kalo @PKSejahtera yg resmi memohon JR legal standingnya sangat kuat . SALAM NOL PERSEN</t>
  </si>
  <si>
    <t>@BEMUI_Official SALAM NOL PERSEN ...ayo @BEMUI_Official  ikut beramai ramai ke MK dan DPR hapus PT supaya anak2 bangsa terbuka menjadi pemimpin negeri ini</t>
  </si>
  <si>
    <t>#SalamNOLpersen
#SalamNOLpersen https://t.co/JvxUvhtECp</t>
  </si>
  <si>
    <t>Daftarkan Gugatan Presidential Threshold ke MK, Refly Harun dan Ferry Juliantono: Salam Nol Persen
 #Sindonews #BukanBeritaBiasa .https://t.co/pthEJ5R5S8</t>
  </si>
  <si>
    <t>Kelakuan pendukung Anies yang menggunakan nol persen dari nol persen kemampuan otaknya..._xD83D__xDE24_
Salam waras sobat  .._xD83D__xDC83__xD83D__xDC83__xD83D__xDC83_ https://t.co/zWpg3Um7mR</t>
  </si>
  <si>
    <t>Baru pak Anies yang tegas komitmen nih!
Anies Prioritaskan Pengesahan RUU Perampasan Aset Jika Terpilih Presiden
https://t.co/pdESPMC1fr</t>
  </si>
  <si>
    <t>@Nicho_Silalahi @ListyoSigitP Wisata masa lalu saya tetap semangat bang 
#Salamnolpersen</t>
  </si>
  <si>
    <t>@DekritTolol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Percepat Pemilu Rakyat ingin Cepat Punya Perubahan , Yg Lebih Baik
#ReferendumMakzulkanJokowi
#ReferendumMakzulkanJokowi</t>
  </si>
  <si>
    <t>@Din44yu @SanusiUndins @ManiseWidiarti @ikotjo22 @namatanpaspasi @s3creth_m4nz @MichelAdam5l5 @KING_KONGRETURN @Belangtiga @SholihAly @TiadaYangLain2 @BOETIX Salam Nol Persen 
#KPUBiangKerokKecurangan
#KPUBiangKerokKecurangan</t>
  </si>
  <si>
    <t>MUNDUR.! 
HAPUS PT20℅/ BUBARKAN MK
SALAM NOL PERSEN
#JokowiMatikanDemokrasi 
#JokowiMatikanDemokrasi</t>
  </si>
  <si>
    <t>Seliweran gambar capres-cawapres 2024!! 
Padahal Negara banyak ketimpangan. Dari Utang negara, Ekonomi, Hukum, TKA CINA dll..... 
#TolakRUU_KUHP 
#TolakRUU_KUHP
Hapus PT20℅
SALAM NOL PERSEN</t>
  </si>
  <si>
    <t>Salam nol persen..</t>
  </si>
  <si>
    <t>LAGU SALAM NOL PERSEN  Lirik Refly Harun Penyanyi   OGI    https://t.co/pmJxIiobbN via @YouTube</t>
  </si>
  <si>
    <t>@geloraco Kekhawatiran itu wajar, karena memang ada indikasi, kedaulatan itu mesti ditangan rakyat, bukan ditangan Parlemen.. 
#salamnolpersen</t>
  </si>
  <si>
    <t>@akunyangbaik @IndonesiaFaried @ontohbrontoh @LaNyallaAcademy PT Nol Persen itu awal start negara demokrasi...
#SalamNolPersen</t>
  </si>
  <si>
    <t>#SalamNolPersen _xD83D__xDC4C_</t>
  </si>
  <si>
    <t>@mudjib_trisatya @psi_id Salam nol persen _xD83D__xDE42_</t>
  </si>
  <si>
    <t>"Saya terima nikah dan mas kawinnya threshold 20% dibayar tunai"
Ada?
#SalamNolPersen</t>
  </si>
  <si>
    <t>@ReflyHZ Aamiin Yaa Rabb 
semoga PT NOL PERSEN segera berlabuh _xD83E__xDD32_
#SALAMNOLPERSEN</t>
  </si>
  <si>
    <t>Ayo Jawab dengan Jujur, Sudah Adilkah Pemimpin Negara Saat ini?
#hapuspt20persen 
#hapuspt20persen 
#SalamNolPersen https://t.co/WMDnzAnBbz</t>
  </si>
  <si>
    <t>Salam nol persen 
#SALAMNOLPERSEN https://t.co/ZfBS4ALHyY</t>
  </si>
  <si>
    <t>@ReflyHZ #SALAMNOLPERSEN
#SALAMNOLPERSEN</t>
  </si>
  <si>
    <t>@fahiraidris Bissmillah Uni
Kami mendukung perjuangan Uni dan kawan2 senator beserta tim pengacara dlm upaya uji materil di MK
Teriring doa semoga Allah meridhoi perjuangan kita semua
Aamiin _xD83E__xDD32_
#SalamNolPersen</t>
  </si>
  <si>
    <t>Salam nol persen...</t>
  </si>
  <si>
    <t>@ReflyHZ #SALAMNOLPERSEN juga Pak RH
✌✌✌</t>
  </si>
  <si>
    <t>Berita Papua // Aksi mahasiswa tolak KTT G20 : Ini nama korban pemukulan dan penangkapan polisi https://t.co/kajnHV08JZ https://t.co/32R6rI6CwA</t>
  </si>
  <si>
    <t>Assalamualaikum salam _xD83D__xDE4F_.. maksud dan tujuannya mahasiswa ini politik yg nol persen..bro ane jelasin ya.. janganlah engkau rusak mukamu sendiri engkau diciptakan sempurna..jikalau masih berfikir 2 langkah belajarlah yg jujur dan adil yg sukses akan tujuannya.. waalaikumunsallam</t>
  </si>
  <si>
    <t>@convomf nonton yt salam nol persen</t>
  </si>
  <si>
    <t>@taharudddin Aku suka nih klo makin byk bacapres. Yg lbh penting lagi hilangkan PT 20% menjadi 0%, 
Pasti makin hidup pesta demokrasi. 
#SalamNolPersen  ✊️_xD83D__xDC4D_</t>
  </si>
  <si>
    <t>@fahiraidris Mantap.
Semangat uni
Salam nol persen</t>
  </si>
  <si>
    <t>#SalamNolPersen
Intelektual 100%
Elektabilitas 0%
PT 0% menjamin Pemimpin yg tak tersandera Oligarki Pengusaha !!</t>
  </si>
  <si>
    <t>@abu_waras Ingat ya , pergeralan event Formula E itu gak ada di agenda janji politik Anies B 
Janji kampanye Anies B
- OK OC ❌
- DP NOL PERSEN ❌
- NORMALISASI ❌
- DLL ❌
Salam Waras untuk lambe yg tidak waras</t>
  </si>
  <si>
    <t>Ketua KPK benar sekali _xD83D__xDC4D__xD83D__xDC4D_ Akibat ambang batas, sewa partai: 30-60 M untuk Bupati, 100-300 utk Gubernur, &amp;gt; 1 T utk capress. Nol-kan !
Alasan Firli Agar Threshold (ambang batas) 0 Persen: Banyak Kepala Daerah Keluhkan Biaya Politik dan Akhirnya Korupsi.
https://t.co/QtzMz90Yg9</t>
  </si>
  <si>
    <t>Ini baru aktivis 98 garis lurus yg punya nyali. Ayo rapatkan barisan...!! Dukung gelombang menggugat anti KKN sebagaimana yg diamanatkan TAP MPR No. XI/MPR/1998 tentang Penyelenggaraan Negara yang Bersih dan Bebas dari KKN. 
#salamnolpersen
#bubarkanfraksi</t>
  </si>
  <si>
    <t>Menarik nih imun biar cpt end game sblm 2024. salam NOL persen!</t>
  </si>
  <si>
    <t>Kembali Maju ke MK Agar Presidential Threshold Nol Persen, Lieus Sungkharisma: Pasal 222 UU No 7/2017 Bertentangan dengan UUD 45
https://t.co/PCwNRNmmvP</t>
  </si>
  <si>
    <t>@OposisiCerdas Mesti ngunu wong Iki, cangkem elek
#PeoplePower 
#salamnolpersen</t>
  </si>
  <si>
    <t>#SalamNolPersen</t>
  </si>
  <si>
    <t>@syafniir @eddyroyady @BosRadikal @Rayashanum1 @__NRamadh4n @Jul3aRhma3 @Stevaniehuangg @Queen__Lagi @ArgentianaA Salam kenal ya....
Semoga omset kita di 2022 naik pesat
Bisa tambah property dan kendaraan roda 4. Oh ya, PPnBM nol persen masih berlanjut di 2022 _xD83D__xDE01__xD83D__xDE01__xD83D__xDE4F__xD83D__xDE4F_</t>
  </si>
  <si>
    <t>Menunggu air jadi mendidih
Untuk diminum anak dan bini
Saya kok menjadi sedih
Penegakan hukum jadi begini</t>
  </si>
  <si>
    <t>@ReflyHZ @simobawa Semoga perjuangan membuahkan hasil...
#SALAMNOLPERSEN</t>
  </si>
  <si>
    <t>Tadinya sempat saya kira ini hanya "clickbait" media (utk mendapat perhatian saja).
Namun ketika media sekelas Detik, Tribun, Liputan 6-pun menuliskan hal yg sama,
Apakah layak suara Muadzin -yg mengumandangkan Adzan, panggilan Sholat- dibandingkan dgn Gonggongan Anjing ?
AMBYAR https://t.co/bpnxrGCGZs</t>
  </si>
  <si>
    <t>Betul itu bang, semoga partai @partaigeloraid lulus ke parlemen. #SalamNolPersen</t>
  </si>
  <si>
    <t>Karena jadwal pencoblosan pemilu sudah ditetapkan 14/2/2024.. Maka gak usah bahas2 lagi skenario  lain.. Kasi waktu presiden untuk selesaikan tugas... Kalau ada keputusan MK di tengah perjalanan ya harus dihormati. Udah sekarang pada tenang2 ya. Siap2 tarung secara terhormat!</t>
  </si>
  <si>
    <t>@Fahrihamzah Boleh lah jadi Vokalis..tapi jangan lupa sama Bandnya,kasihan loh Band Barunya,kok cuma Vokalisnya aja yg beken...coba Bang n Bandnya sama minta Lagu...SALAM NOL PERSEN..biar ikut perlombaan nantinya</t>
  </si>
  <si>
    <t>Lagu Salam Nol Persen
Vokal Ogie Cherista
Syair Refly Harun
✋_xD83E__xDD23_
_ https://t.co/euQ0QaSQe0</t>
  </si>
  <si>
    <t>Salam pancasila salam nol persen</t>
  </si>
  <si>
    <t>@susipudjiastuti Ini proyek akan mangkrak..  Apalagi kalo pemilu 2024 dimenangkan oleh oposisi yg skrg kenceng nolak.. Akhirnya.. Buang2 uang aja... #salamakalsehat #salamnolpersen</t>
  </si>
  <si>
    <t>Salam Nol Persen dari Presidential Threshold. 
#PeriksaAnakLurah 
#PeriksaAnakLurah 
Youtube. https://t.co/9qu8aJrkwF</t>
  </si>
  <si>
    <t>Proyek IKN Baru Dikritik Banyak Kalangan, Refly Harun: DPR Tak Berkutik di Hadapan Jokowi!
https://t.co/zAGBg43rO1</t>
  </si>
  <si>
    <t>SALAM  NOL  PERSEN
* 2024 bersihkan eksekutif dan legislatif yg tidak PRO RAKYAT.</t>
  </si>
  <si>
    <t>Kementerian Kesehatan mengakui ada klaim tagihan penanganan Covid-19 yang tak bisa dibayarkan pemerintah kepada rumah sakit, nilainya triliunan. #TempoNasional https://t.co/qVWIzj5z3T</t>
  </si>
  <si>
    <t>Pindah IKN pakai apa bong???
* Salam NOL PERSEN</t>
  </si>
  <si>
    <t>Ternyataaaa.......
Turis Perdana ke Bali Dibiayai Kemenparekraf, Garuda dan Hotel
https://t.co/wGbuZXFXqL.</t>
  </si>
  <si>
    <t>Waduh.....
Begitu masuk gerombolan watak berubah?
#SalamNOLPersen</t>
  </si>
  <si>
    <t>Kalo rapat bahas PT 0% katanya gak cukup waktu. Giliran RUU ibukota baru dikebut 16jam rampung. Rasanya koq gak ikhlas bayar pajak untuk gaji mereka. Apakah mereka itu masih MERASA sebagai wakil rakyat?</t>
  </si>
  <si>
    <t>SALAM  NOL  PERSEN
* 2024 TENGGELAMKAN PARTAI YANG TIDAK BERPIHAK RAKYAT.
#2024RakyatPunyaKuasa</t>
  </si>
  <si>
    <t>Waras &amp;amp; akal sehat serta merdeka hasilkan otak cerdas bukan ODDO.
#SalamNOLPersen</t>
  </si>
  <si>
    <t>Bersihkan calon pemimpin dari KKN
#SalamNolPersen</t>
  </si>
  <si>
    <t>SALAM  NOL  PERSEN
* 2024 TENGGELAMKAN Partai yang berpihak oligarki
#2024RakyatPunyaKuasa</t>
  </si>
  <si>
    <t>RUU Ttg Ibu Kota Negara tlh disahkan tlh jadi UU. Saya upload kembali tulisan sy ttg pemindahan ibukota. Saya juga usul supaya ada persetujuan rakyat melalui referendum jika mau dipindah ibukota negara. Nasi sdh jadi bubur. Sdh lahir UUnya. 
https://t.co/exe396VpUN</t>
  </si>
  <si>
    <t>SALAM  NOL  PERSEN
2024 Pilih pemimpin yg batalkan pindah ibu kota
2024Tenggelamkan partai yg setuju pindah ibu kota karena tidak buka ruang yg cukup untuk rakyat menyetujui.</t>
  </si>
  <si>
    <t>Karena mkn kurangnya peminat Surat Utang Negara (SUN) dan dimintanya BI berhenti membeli SUN oleh IMF, smtr pemerintah msh butuh tambahan utang, maka upaya menahan uang kelolaan spt dana JHT di BPJS Ketenagakerjaan agar tdk diambil, mungkin ditujukan untuk beli SUN tsb</t>
  </si>
  <si>
    <t>Cerdas &amp;amp; Cadas.
Petarung sejati dari timur yg bikin lawam ciut @MSD
#SalamNOLPersen</t>
  </si>
  <si>
    <t>RI Turun Jadi Negara Penghasilan Menengah Bawah, BI Salahkan Pandemi https://t.co/WKi2emwdZd</t>
  </si>
  <si>
    <t>SALAM  NOL  PERSEN
* Setop KKN
Hanya Anies yg bisa hentikan.</t>
  </si>
  <si>
    <t>Alhamdulillah jdwl Pemilu 2024 sdh disepakati. Namun ada bbrp hal yg perlu sgr dibereskan. KPU Bawaslu hrs sgr menyelesaikan peraturan utk mensukseskan berbagai tahapan pemilu. Krn pasal 167 ayat 6 UU ttg Pemilu sdh menyatakan,tahapan pemilu paling lambat dimulai 20 bln sblm hr H</t>
  </si>
  <si>
    <t>Pers Sehat &amp;amp; Waras adalah pers yg berfungsi sbg WATCH DOG bukan corong rezim kalau tidak kalian ditinggalkan rakyat.
#SalamNOLPersen</t>
  </si>
  <si>
    <t>Jokowi KKN Terang-terangan, Gibran dan Bobby Nasution Disinggung oleh Salim Said https://t.co/1eND4aFRLJ</t>
  </si>
  <si>
    <t>KKN musuh utama Reformasi 98.
Kang Ubed konsisten dan kritis.
Kang Ubed bukan pengemis berbaju aktivis
Kang Ubed bukan komisaris otak berkudis
#DukungUbedilahBadrun
#SalamNolPersen
#LawanKKN</t>
  </si>
  <si>
    <t>Gue ga percaya dgn lembaga survey terlebih yg jelas2 suka NIPU. 
Skrg mrk menangkan Anies di Jabar, tak lama lagi mrk akan keluarkan hasil survey di-daerah2 lain. Ujungnya mrk akan katakan elektabilitas Anies jeblok.
Jgn percaya dgn kang Survey abal2.  
https://t.co/V223RLyoHY</t>
  </si>
  <si>
    <t>SETUJA
SALAM NOL PERSEN
Jangan percaya pedagang survey , jauh dari adab &amp;amp; etika inTELEKtual.
Lihat hasil karta nyata dan respon rakyat.</t>
  </si>
  <si>
    <t>Anggota DPR Desak Kemenhub Usut Tuntas Kasus Pemindahan Paksa Pesawat Susi Air di Bandara Malinau
https://t.co/vKYsZlSUbE</t>
  </si>
  <si>
    <t>SALAM  NOL  PERSEN
Sudah saatnya DPD setara dg DPR , karena DPR sudah jadi wakil ketua partai.
Negara TETAP ADA tanpa ADA PARTAI,
Negara BUBAR tanpa ada DAERAH.
LEBIH PENTING DAERAH DARI PADA PARTAI.
#SaveDPD</t>
  </si>
  <si>
    <t>Mahasiswa Duduk yg Manis atau Tiduran saja biar kami emak² yg turun ke jalan ! https://t.co/hUvLW2vE2O</t>
  </si>
  <si>
    <t>Aduh.....
Main game jg boleh.
Dulu ada yg ngirim CD &amp;amp; Bra.
#SalamNolPersen</t>
  </si>
  <si>
    <t>1. Senin 27 Des 2021, Tiga orang Anggota DPD RI yaitu Tamsil Linrung, Fahira Idris &amp;amp; Edwin Pratama Putra mengajukan gugatan judicial review ke Mahkamah Konstitusi, terkait dg presidential threshold pencalonan presiden 20% yg tertuang di dlm UU Pemilu Nomor 7 Tahun 2017. 
A THREAD https://t.co/H5l3SsRoV5</t>
  </si>
  <si>
    <t>Terimakasih ibu FI yg selalu membela kepentingan rakyat.
* Salam PCR Gate
* Salam NOL PERSEN</t>
  </si>
  <si>
    <t>Mengapa kita harus terus berisik?
Karena yang seharusnya bersuara; DPR, Intelektual Kampus, Mahasiswa semuanya pada DIAM https://t.co/t7RfBOMU1v</t>
  </si>
  <si>
    <t>Cadas petarung dari timur yg bikin lawan ciut.
Tetap semangat dan selalu dalam lindungan &amp;amp; tuntunan Allah SWT
#SalamNOLPersen</t>
  </si>
  <si>
    <t>@bumnbersatu Halu boleh.... 
Bohong jangan... 
Karena udah biasa bohong ya susah.... 
Salam DP nol persen</t>
  </si>
  <si>
    <t>salam</t>
  </si>
  <si>
    <t>salamnolpersen</t>
  </si>
  <si>
    <t>periksaanaklurah periksaanaklurah</t>
  </si>
  <si>
    <t>salamnolpersen salamnolpersen</t>
  </si>
  <si>
    <t>dprmprmati</t>
  </si>
  <si>
    <t>murahinkebutuhanpokok murahinkebutuhanpokok</t>
  </si>
  <si>
    <t>revolusiakhlaq salamnolpersen</t>
  </si>
  <si>
    <t>sahabatganjar</t>
  </si>
  <si>
    <t>jokowigagal jendralbalihoantiulama tangkapferdinand presiden salamnolpersen</t>
  </si>
  <si>
    <t>bebaskanferdinand</t>
  </si>
  <si>
    <t>salamnolpersen innallillahi walikotabandung gopay</t>
  </si>
  <si>
    <t>gugatpresidentialthreshold salamnolpersen</t>
  </si>
  <si>
    <t>gugatpresidentialthreshold hapuspt20persen presidentielles2022</t>
  </si>
  <si>
    <t>salamrevolusiakhlak salamnolpersen</t>
  </si>
  <si>
    <t>sindonews bukanberitabiasa</t>
  </si>
  <si>
    <t>referendummakzulkanjokowi referendummakzulkanjokowi</t>
  </si>
  <si>
    <t>kpubiangkerokkecurangan kpubiangkerokkecurangan</t>
  </si>
  <si>
    <t>jokowimatikandemokrasi jokowimatikandemokrasi</t>
  </si>
  <si>
    <t>tolakruu_kuhp tolakruu_kuhp</t>
  </si>
  <si>
    <t>hapuspt20persen hapuspt20persen salamnolpersen</t>
  </si>
  <si>
    <t>salamnolpersen bubarkanfraksi</t>
  </si>
  <si>
    <t>peoplepower salamnolpersen</t>
  </si>
  <si>
    <t>salamakalsehat salamnolpersen</t>
  </si>
  <si>
    <t>temponasional</t>
  </si>
  <si>
    <t>2024rakyatpunyakuasa</t>
  </si>
  <si>
    <t>dukungubedilahbadrun salamnolpersen lawankkn</t>
  </si>
  <si>
    <t>savedpd</t>
  </si>
  <si>
    <t>tempo.co</t>
  </si>
  <si>
    <t>sindonews.com</t>
  </si>
  <si>
    <t>dlvr.it</t>
  </si>
  <si>
    <t>chng.it</t>
  </si>
  <si>
    <t>detik.com</t>
  </si>
  <si>
    <t>twb.nz</t>
  </si>
  <si>
    <t>rmol.id</t>
  </si>
  <si>
    <t>dailynewsindonesia.com</t>
  </si>
  <si>
    <t>mediaindonesia.com</t>
  </si>
  <si>
    <t>youtu.be</t>
  </si>
  <si>
    <t>oposisicerdas.com</t>
  </si>
  <si>
    <t>democrazy.id</t>
  </si>
  <si>
    <t>bit.ly</t>
  </si>
  <si>
    <t>arahjaya.com</t>
  </si>
  <si>
    <t>cnnindonesia.com</t>
  </si>
  <si>
    <t>keuangannews.id</t>
  </si>
  <si>
    <t>gelora.co</t>
  </si>
  <si>
    <t>ramlirizal lanyallamm1</t>
  </si>
  <si>
    <t>yosnggarang bahlillahadalia</t>
  </si>
  <si>
    <t>taufiqa27 geloraco</t>
  </si>
  <si>
    <t>msaid_didu sailabi1</t>
  </si>
  <si>
    <t>drevachaniago reflyhz</t>
  </si>
  <si>
    <t>msaid_didu mohmahfudmd</t>
  </si>
  <si>
    <t>helmi_felis alloefrat</t>
  </si>
  <si>
    <t>hendri78chniago amien__rais ridhorahmadi85 tofatofa_id buniyani1 mskaban3 dppgardaummat dpp_partaiummat ummat_diy ummat_kotadepok</t>
  </si>
  <si>
    <t>megapkeliduan divhumas_polri ruhutsitompul</t>
  </si>
  <si>
    <t>__rismawidiono_ ganjarpranowo</t>
  </si>
  <si>
    <t>bima_____ ramlirizal</t>
  </si>
  <si>
    <t>maspiyuaja sonyareksby</t>
  </si>
  <si>
    <t>bima_____ ramlirizal reflyhz</t>
  </si>
  <si>
    <t>abajijeh doankwarto</t>
  </si>
  <si>
    <t>mardanialisera pksejahtera hnurwahid fpksdprri fahiraidris tifsembiring aheryawan</t>
  </si>
  <si>
    <t>ramlirizal officialmkri</t>
  </si>
  <si>
    <t>timurandproud</t>
  </si>
  <si>
    <t>rockygerung_rg prabowo ridwankamil aniesbaswedan khofifahip mohmahfudmd puanmaharani_ri mohmahfudmd puanmaharani_ri</t>
  </si>
  <si>
    <t>la_hamu marlina_idha aniesbaswedan</t>
  </si>
  <si>
    <t>z3n7h03n7 geiszchalifah</t>
  </si>
  <si>
    <t>galih_akek2 pdemokrat</t>
  </si>
  <si>
    <t>iwi18297130 mghufro38074283</t>
  </si>
  <si>
    <t>vivayogamauladi official_pan fadlizon pksejahtera gerindra partaigolkar fahiraidris dpdri</t>
  </si>
  <si>
    <t>fahiraidris tamsilinrung</t>
  </si>
  <si>
    <t>sutanmangarahrp knpiharis</t>
  </si>
  <si>
    <t>knpiharis knpimediacentre</t>
  </si>
  <si>
    <t>uyokback reflyhz ramlirizal</t>
  </si>
  <si>
    <t>dimasakbarz zul_hasan aniesbaswedan ridwankamil official_pan erickthohir official_pan</t>
  </si>
  <si>
    <t>yanharahap dpdri</t>
  </si>
  <si>
    <t>hnurwahid officialmkri pksejahtera</t>
  </si>
  <si>
    <t>bemui_official bemui_official</t>
  </si>
  <si>
    <t>nicho_silalahi listyosigitp</t>
  </si>
  <si>
    <t>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t>
  </si>
  <si>
    <t>din44yu sanusiundins manisewidiarti ikotjo22 namatanpaspasi s3creth_m4nz micheladam5l5 king_kongreturn belangtiga sholihaly tiadayanglain2 boetix</t>
  </si>
  <si>
    <t>indonesiafaried ontohbrontoh lanyallaacademy</t>
  </si>
  <si>
    <t>mudjib_trisatya psi_id</t>
  </si>
  <si>
    <t>syafniir eddyroyady bosradikal rayashanum1 jul3arhma3 argentianaa</t>
  </si>
  <si>
    <t>reflyhz simobawa</t>
  </si>
  <si>
    <t>https://t.co/tSXSKjRl61 https://pbs.twimg.com/media/FQl2OjBaIAA8wiF.jpg</t>
  </si>
  <si>
    <t>https://t.co/n4wZCqDxCa https://pbs.twimg.com/media/FOYu6fJXEAM9jhR.jpg</t>
  </si>
  <si>
    <t>https://t.co/Wz1JpR9Fcl https://pbs.twimg.com/media/FI8dudsaQAINFvL.jpg</t>
  </si>
  <si>
    <t>https://t.co/celAzCtG0u https://pbs.twimg.com/media/FIUTYIXVEAAsCfu.jpg</t>
  </si>
  <si>
    <t>https://t.co/Iv9JhrjRUY https://pbs.twimg.com/media/FHvGFDOUUAAV5DU.jpg</t>
  </si>
  <si>
    <t>https://t.co/72ASGcUDWt https://pbs.twimg.com/ext_tw_video_thumb/1481214292691394566/pu/img/hv3TjHLTiL8hT7VF.jpg</t>
  </si>
  <si>
    <t>https://t.co/1VfoXVwm8f https://pbs.twimg.com/media/FGPopCrUUAECI3u.jpg</t>
  </si>
  <si>
    <t>https://t.co/VWTQb33R76 https://pbs.twimg.com/media/FJBPNgJakAAjq4q.jpg</t>
  </si>
  <si>
    <t>https://t.co/jTQWyQ9NKi https://pbs.twimg.com/ext_tw_video_thumb/1486265258822213632/pu/img/qCR7AyrOm0XJjBNj.jpg</t>
  </si>
  <si>
    <t>https://t.co/JvxUvhtECp https://pbs.twimg.com/media/FIvfPd5UYAA6OCS.jpg</t>
  </si>
  <si>
    <t>https://t.co/zWpg3Um7mR https://pbs.twimg.com/media/FhwKbW7aAAUEZhN.jpg</t>
  </si>
  <si>
    <t>https://t.co/WMDnzAnBbz https://pbs.twimg.com/media/FHR90l_UYAAak-a.jpg</t>
  </si>
  <si>
    <t>https://t.co/ZfBS4ALHyY https://pbs.twimg.com/ext_tw_video_thumb/1481802070365999105/pu/img/PhJQoDB0XdrjGeF7.jpg</t>
  </si>
  <si>
    <t>https://t.co/32R6rI6CwA https://pbs.twimg.com/media/FhrmUkaaUAAbsi8.jpg</t>
  </si>
  <si>
    <t>https://t.co/bpnxrGCGZs https://t.co/bpnxrGCGZs https://t.co/bpnxrGCGZs https://t.co/bpnxrGCGZs https://pbs.twimg.com/media/FMSq17aUUAIvozT.jpg https://pbs.twimg.com/media/FMSq2W_VEAI19c9.jpg https://pbs.twimg.com/media/FMSq236VUAUcTzd.jpg https://pbs.twimg.com/media/FMSq3aRUUAIqlKw.jpg</t>
  </si>
  <si>
    <t>https://t.co/euQ0QaSQe0 https://pbs.twimg.com/ext_tw_video_thumb/1489208786141454337/pu/img/_IiGT3yzOMR9XODZ.jpg</t>
  </si>
  <si>
    <t>https://t.co/9qu8aJrkwF https://pbs.twimg.com/media/FJBN-XcaIAUmZmw.jpg</t>
  </si>
  <si>
    <t>https://t.co/hUvLW2vE2O https://pbs.twimg.com/ext_tw_video_thumb/1481511622984466432/pu/img/S3OCEWZDY1pkqGYa.jpg</t>
  </si>
  <si>
    <t>https://t.co/H5l3SsRoV5 https://pbs.twimg.com/media/FHrKTyoVkAEIx8M.jpg</t>
  </si>
  <si>
    <t>https://t.co/t7RfBOMU1v https://pbs.twimg.com/media/FK-MEBeaAAEOjd2.jpg</t>
  </si>
  <si>
    <t>photo</t>
  </si>
  <si>
    <t>video</t>
  </si>
  <si>
    <t>photo photo photo photo</t>
  </si>
  <si>
    <t>Twitter Web App</t>
  </si>
  <si>
    <t>Twitter for Android</t>
  </si>
  <si>
    <t>SocialDog for X</t>
  </si>
  <si>
    <t>Twitter for iPhone</t>
  </si>
  <si>
    <t>Jetpack.com</t>
  </si>
  <si>
    <t>SINDOnews</t>
  </si>
  <si>
    <t>TweetDeck</t>
  </si>
  <si>
    <t>detikcommunity</t>
  </si>
  <si>
    <t>in</t>
  </si>
  <si>
    <t>qht</t>
  </si>
  <si>
    <t>hu</t>
  </si>
  <si>
    <t>en</t>
  </si>
  <si>
    <t>qme</t>
  </si>
  <si>
    <t>tl</t>
  </si>
  <si>
    <t>23:48:11</t>
  </si>
  <si>
    <t>02:00:00</t>
  </si>
  <si>
    <t>11:52:13</t>
  </si>
  <si>
    <t>04:10:18</t>
  </si>
  <si>
    <t>22:32:40</t>
  </si>
  <si>
    <t>22:28:10</t>
  </si>
  <si>
    <t>22:18:14</t>
  </si>
  <si>
    <t>00:46:48</t>
  </si>
  <si>
    <t>22:15:59</t>
  </si>
  <si>
    <t>23:14:52</t>
  </si>
  <si>
    <t>00:02:37</t>
  </si>
  <si>
    <t>11:42:40</t>
  </si>
  <si>
    <t>01:42:04</t>
  </si>
  <si>
    <t>04:31:26</t>
  </si>
  <si>
    <t>11:41:12</t>
  </si>
  <si>
    <t>19:31:25</t>
  </si>
  <si>
    <t>19:47:34</t>
  </si>
  <si>
    <t>20:57:16</t>
  </si>
  <si>
    <t>17:30:28</t>
  </si>
  <si>
    <t>00:41:33</t>
  </si>
  <si>
    <t>01:50:39</t>
  </si>
  <si>
    <t>15:01:49</t>
  </si>
  <si>
    <t>14:59:43</t>
  </si>
  <si>
    <t>12:11:44</t>
  </si>
  <si>
    <t>14:08:33</t>
  </si>
  <si>
    <t>04:06:14</t>
  </si>
  <si>
    <t>11:38:16</t>
  </si>
  <si>
    <t>02:32:40</t>
  </si>
  <si>
    <t>12:59:36</t>
  </si>
  <si>
    <t>06:06:57</t>
  </si>
  <si>
    <t>14:53:27</t>
  </si>
  <si>
    <t>00:32:21</t>
  </si>
  <si>
    <t>16:21:38</t>
  </si>
  <si>
    <t>22:16:46</t>
  </si>
  <si>
    <t>02:56:28</t>
  </si>
  <si>
    <t>00:32:45</t>
  </si>
  <si>
    <t>03:02:48</t>
  </si>
  <si>
    <t>23:38:55</t>
  </si>
  <si>
    <t>00:42:49</t>
  </si>
  <si>
    <t>05:22:22</t>
  </si>
  <si>
    <t>06:06:49</t>
  </si>
  <si>
    <t>13:16:07</t>
  </si>
  <si>
    <t>07:40:55</t>
  </si>
  <si>
    <t>13:40:23</t>
  </si>
  <si>
    <t>23:06:14</t>
  </si>
  <si>
    <t>11:11:27</t>
  </si>
  <si>
    <t>21:42:28</t>
  </si>
  <si>
    <t>21:34:53</t>
  </si>
  <si>
    <t>22:00:45</t>
  </si>
  <si>
    <t>13:06:24</t>
  </si>
  <si>
    <t>10:48:46</t>
  </si>
  <si>
    <t>01:18:40</t>
  </si>
  <si>
    <t>06:08:38</t>
  </si>
  <si>
    <t>02:05:16</t>
  </si>
  <si>
    <t>08:05:32</t>
  </si>
  <si>
    <t>07:13:27</t>
  </si>
  <si>
    <t>02:23:19</t>
  </si>
  <si>
    <t>15:43:21</t>
  </si>
  <si>
    <t>09:20:25</t>
  </si>
  <si>
    <t>22:02:59</t>
  </si>
  <si>
    <t>07:39:28</t>
  </si>
  <si>
    <t>07:47:41</t>
  </si>
  <si>
    <t>19:59:53</t>
  </si>
  <si>
    <t>00:10:17</t>
  </si>
  <si>
    <t>16:24:15</t>
  </si>
  <si>
    <t>12:17:48</t>
  </si>
  <si>
    <t>23:31:58</t>
  </si>
  <si>
    <t>00:44:34</t>
  </si>
  <si>
    <t>22:50:05</t>
  </si>
  <si>
    <t>10:34:50</t>
  </si>
  <si>
    <t>10:39:58</t>
  </si>
  <si>
    <t>11:52:06</t>
  </si>
  <si>
    <t>04:20:42</t>
  </si>
  <si>
    <t>06:01:21</t>
  </si>
  <si>
    <t>15:49:16</t>
  </si>
  <si>
    <t>17:19:33</t>
  </si>
  <si>
    <t>02:33:05</t>
  </si>
  <si>
    <t>11:57:10</t>
  </si>
  <si>
    <t>19:26:11</t>
  </si>
  <si>
    <t>07:01:40</t>
  </si>
  <si>
    <t>17:00:26</t>
  </si>
  <si>
    <t>14:29:05</t>
  </si>
  <si>
    <t>05:00:46</t>
  </si>
  <si>
    <t>23:48:53</t>
  </si>
  <si>
    <t>23:33:20</t>
  </si>
  <si>
    <t>16:36:37</t>
  </si>
  <si>
    <t>18:23:54</t>
  </si>
  <si>
    <t>03:30:53</t>
  </si>
  <si>
    <t>06:44:25</t>
  </si>
  <si>
    <t>04:16:09</t>
  </si>
  <si>
    <t>06:45:09</t>
  </si>
  <si>
    <t>17:49:12</t>
  </si>
  <si>
    <t>15:45:45</t>
  </si>
  <si>
    <t>13:31:20</t>
  </si>
  <si>
    <t>22:43:52</t>
  </si>
  <si>
    <t>11:27:23</t>
  </si>
  <si>
    <t>07:00:29</t>
  </si>
  <si>
    <t>12:36:50</t>
  </si>
  <si>
    <t>13:40:29</t>
  </si>
  <si>
    <t>08:26:04</t>
  </si>
  <si>
    <t>12:31:56</t>
  </si>
  <si>
    <t>09:11:22</t>
  </si>
  <si>
    <t>16:03:21</t>
  </si>
  <si>
    <t>04:57:01</t>
  </si>
  <si>
    <t>21:00:47</t>
  </si>
  <si>
    <t>15:10:41</t>
  </si>
  <si>
    <t>15:13:58</t>
  </si>
  <si>
    <t>14:57:23</t>
  </si>
  <si>
    <t>04:08:58</t>
  </si>
  <si>
    <t>01:50:11</t>
  </si>
  <si>
    <t>04:41:33</t>
  </si>
  <si>
    <t>03:20:28</t>
  </si>
  <si>
    <t>09:02:17</t>
  </si>
  <si>
    <t>14:25:25</t>
  </si>
  <si>
    <t>00:37:37</t>
  </si>
  <si>
    <t>15:27:36</t>
  </si>
  <si>
    <t>12:50:13</t>
  </si>
  <si>
    <t>12:07:19</t>
  </si>
  <si>
    <t>08:31:21</t>
  </si>
  <si>
    <t>05:05:19</t>
  </si>
  <si>
    <t>11:31:07</t>
  </si>
  <si>
    <t>11:12:15</t>
  </si>
  <si>
    <t>05:58:14</t>
  </si>
  <si>
    <t>13:04:59</t>
  </si>
  <si>
    <t>05:54:58</t>
  </si>
  <si>
    <t>03:00:52</t>
  </si>
  <si>
    <t>11:13:09</t>
  </si>
  <si>
    <t>13:00:23</t>
  </si>
  <si>
    <t>16:06:53</t>
  </si>
  <si>
    <t>17:04:46</t>
  </si>
  <si>
    <t>10:20:47</t>
  </si>
  <si>
    <t>02:12:29</t>
  </si>
  <si>
    <t>02:44:51</t>
  </si>
  <si>
    <t>08:59:31</t>
  </si>
  <si>
    <t>01:37:57</t>
  </si>
  <si>
    <t>08:58:56</t>
  </si>
  <si>
    <t>12:26:08</t>
  </si>
  <si>
    <t>08:32:32</t>
  </si>
  <si>
    <t>02:24:18</t>
  </si>
  <si>
    <t>11:15:05</t>
  </si>
  <si>
    <t>16:17:11</t>
  </si>
  <si>
    <t>15:27:59</t>
  </si>
  <si>
    <t>23:12:51</t>
  </si>
  <si>
    <t>04:01:52</t>
  </si>
  <si>
    <t>04:03:49</t>
  </si>
  <si>
    <t>10:42:51</t>
  </si>
  <si>
    <t>14:04:57</t>
  </si>
  <si>
    <t>23:12:03</t>
  </si>
  <si>
    <t>18:20:12</t>
  </si>
  <si>
    <t>00:38:03</t>
  </si>
  <si>
    <t>22:08:53</t>
  </si>
  <si>
    <t>14:42:04</t>
  </si>
  <si>
    <t>04:43:06</t>
  </si>
  <si>
    <t>18:47:09</t>
  </si>
  <si>
    <t>10:11:01</t>
  </si>
  <si>
    <t>15:34:48</t>
  </si>
  <si>
    <t>02:16:59</t>
  </si>
  <si>
    <t>02:09:28</t>
  </si>
  <si>
    <t>08:18:21</t>
  </si>
  <si>
    <t>12:07:39</t>
  </si>
  <si>
    <t>21:29:32</t>
  </si>
  <si>
    <t>16:46:55</t>
  </si>
  <si>
    <t>23:27:55</t>
  </si>
  <si>
    <t>13:55:00</t>
  </si>
  <si>
    <t>06:45:40</t>
  </si>
  <si>
    <t>13:36:57</t>
  </si>
  <si>
    <t>13:37:39</t>
  </si>
  <si>
    <t>03:55:03</t>
  </si>
  <si>
    <t>06:36:30</t>
  </si>
  <si>
    <t>09:42:25</t>
  </si>
  <si>
    <t>00:54:31</t>
  </si>
  <si>
    <t>16:07:48</t>
  </si>
  <si>
    <t>00:59:41</t>
  </si>
  <si>
    <t>00:56:22</t>
  </si>
  <si>
    <t>02:12:47</t>
  </si>
  <si>
    <t>11:55:57</t>
  </si>
  <si>
    <t>15:44:25</t>
  </si>
  <si>
    <t>15:50:26</t>
  </si>
  <si>
    <t>09:36:48</t>
  </si>
  <si>
    <t>16:02:30</t>
  </si>
  <si>
    <t>03:38:13</t>
  </si>
  <si>
    <t>02:54:54</t>
  </si>
  <si>
    <t>21:57:17</t>
  </si>
  <si>
    <t>01:52:03</t>
  </si>
  <si>
    <t>09:26:38</t>
  </si>
  <si>
    <t>09:43:11</t>
  </si>
  <si>
    <t>09:20:44</t>
  </si>
  <si>
    <t>15:09:49</t>
  </si>
  <si>
    <t>06:21:37</t>
  </si>
  <si>
    <t>15:42:10</t>
  </si>
  <si>
    <t>06:24:35</t>
  </si>
  <si>
    <t>16:20:06</t>
  </si>
  <si>
    <t>05:52:07</t>
  </si>
  <si>
    <t>06:35:26</t>
  </si>
  <si>
    <t>23:07:34</t>
  </si>
  <si>
    <t>106,974561,-6,301652 
106,974561,-6,20717 
107,048951,-6,20717 
107,048951,-6,301652 
106,974561,-6,301652</t>
  </si>
  <si>
    <t>Indonesia</t>
  </si>
  <si>
    <t>Bekasi Timur, Indonesia</t>
  </si>
  <si>
    <t>1a29683becc7959b</t>
  </si>
  <si>
    <t>Bekasi Timur</t>
  </si>
  <si>
    <t>city</t>
  </si>
  <si>
    <t>3_1515872741878276096</t>
  </si>
  <si>
    <t>3_1505942707730059267</t>
  </si>
  <si>
    <t>3_1481435486510268418</t>
  </si>
  <si>
    <t>3_1478609357944197120</t>
  </si>
  <si>
    <t>3_1475991092960972800</t>
  </si>
  <si>
    <t>7_1481214292691394566</t>
  </si>
  <si>
    <t>3_1469273695243751425</t>
  </si>
  <si>
    <t>3_1481771370791211008</t>
  </si>
  <si>
    <t>7_1486265258822213632</t>
  </si>
  <si>
    <t>3_1480522359337410560</t>
  </si>
  <si>
    <t>3_1593159833309806597</t>
  </si>
  <si>
    <t>3_1473941320561352704</t>
  </si>
  <si>
    <t>7_1481802070365999105</t>
  </si>
  <si>
    <t>3_1592838659275116544</t>
  </si>
  <si>
    <t>3_1496508819651710978 3_1496508827054706690 3_1496508835892121605 3_1496508845115330562</t>
  </si>
  <si>
    <t>7_1489208786141454337</t>
  </si>
  <si>
    <t>3_1481770011245289477</t>
  </si>
  <si>
    <t>7_1481511622984466432</t>
  </si>
  <si>
    <t>3_1475714269274542081</t>
  </si>
  <si>
    <t>3_1490564002426257409</t>
  </si>
  <si>
    <t>1548092091539984384</t>
  </si>
  <si>
    <t>1515872745988702208</t>
  </si>
  <si>
    <t>1693591836802367824</t>
  </si>
  <si>
    <t>1547433279946514434</t>
  </si>
  <si>
    <t>1480668945568788480</t>
  </si>
  <si>
    <t>1480667810476920832</t>
  </si>
  <si>
    <t>1480665313251246081</t>
  </si>
  <si>
    <t>1480702701193228289</t>
  </si>
  <si>
    <t>1480664747326406659</t>
  </si>
  <si>
    <t>1481404339281608705</t>
  </si>
  <si>
    <t>1468370393182261250</t>
  </si>
  <si>
    <t>1516019376289632261</t>
  </si>
  <si>
    <t>1483253324170158082</t>
  </si>
  <si>
    <t>1600709612583677952</t>
  </si>
  <si>
    <t>1589221355366801410</t>
  </si>
  <si>
    <t>1605284758900342784</t>
  </si>
  <si>
    <t>1606375983422242816</t>
  </si>
  <si>
    <t>1607480690165313536</t>
  </si>
  <si>
    <t>1555969567276601346</t>
  </si>
  <si>
    <t>1597390272089948160</t>
  </si>
  <si>
    <t>1482530705804771328</t>
  </si>
  <si>
    <t>1475844442636505088</t>
  </si>
  <si>
    <t>1475843914422648837</t>
  </si>
  <si>
    <t>1480875070923079685</t>
  </si>
  <si>
    <t>1537799362884952064</t>
  </si>
  <si>
    <t>1534386293886443520</t>
  </si>
  <si>
    <t>1566390182114635776</t>
  </si>
  <si>
    <t>1555018855357247488</t>
  </si>
  <si>
    <t>1554814237868191745</t>
  </si>
  <si>
    <t>1477884165521436672</t>
  </si>
  <si>
    <t>1642903143016189955</t>
  </si>
  <si>
    <t>1479249514301063174</t>
  </si>
  <si>
    <t>1505942722766680069</t>
  </si>
  <si>
    <t>1471967633926868995</t>
  </si>
  <si>
    <t>1472762799570907136</t>
  </si>
  <si>
    <t>1507153478501937152</t>
  </si>
  <si>
    <t>1474576330125574146</t>
  </si>
  <si>
    <t>1490107699979186176</t>
  </si>
  <si>
    <t>1475628268409978887</t>
  </si>
  <si>
    <t>1474973841092792324</t>
  </si>
  <si>
    <t>1481145623726686209</t>
  </si>
  <si>
    <t>1483427985881731075</t>
  </si>
  <si>
    <t>1480806916561408000</t>
  </si>
  <si>
    <t>1559173157486940160</t>
  </si>
  <si>
    <t>1483214108732571650</t>
  </si>
  <si>
    <t>1486295718084354051</t>
  </si>
  <si>
    <t>1575601931820576768</t>
  </si>
  <si>
    <t>1575600022711726080</t>
  </si>
  <si>
    <t>1575606534163136512</t>
  </si>
  <si>
    <t>1480526440458117127</t>
  </si>
  <si>
    <t>1480491802117345282</t>
  </si>
  <si>
    <t>1481435495096012800</t>
  </si>
  <si>
    <t>1478609366001405954</t>
  </si>
  <si>
    <t>1479272896304353283</t>
  </si>
  <si>
    <t>1507992201711607813</t>
  </si>
  <si>
    <t>1483336718841712647</t>
  </si>
  <si>
    <t>1526387858365374466</t>
  </si>
  <si>
    <t>1481653100662620164</t>
  </si>
  <si>
    <t>1550410426869252096</t>
  </si>
  <si>
    <t>1484285353955831812</t>
  </si>
  <si>
    <t>1470297301377695746</t>
  </si>
  <si>
    <t>1478634290745278466</t>
  </si>
  <si>
    <t>1480630493808758784</t>
  </si>
  <si>
    <t>1478519183000289281</t>
  </si>
  <si>
    <t>1468255040905170951</t>
  </si>
  <si>
    <t>1470729734019448833</t>
  </si>
  <si>
    <t>1478509539271987200</t>
  </si>
  <si>
    <t>1475991097872576514</t>
  </si>
  <si>
    <t>1703904252450816304</t>
  </si>
  <si>
    <t>1481213070253129728</t>
  </si>
  <si>
    <t>1481214364896346112</t>
  </si>
  <si>
    <t>1469273715389075456</t>
  </si>
  <si>
    <t>1480756529326280705</t>
  </si>
  <si>
    <t>1483318576337793025</t>
  </si>
  <si>
    <t>1584935131927957504</t>
  </si>
  <si>
    <t>1689325558642221056</t>
  </si>
  <si>
    <t>1472756912701599745</t>
  </si>
  <si>
    <t>1575092246734512129</t>
  </si>
  <si>
    <t>1469025602086838274</t>
  </si>
  <si>
    <t>1481521814820253698</t>
  </si>
  <si>
    <t>1488195481318883333</t>
  </si>
  <si>
    <t>1539978856206979072</t>
  </si>
  <si>
    <t>1482940939786387458</t>
  </si>
  <si>
    <t>1483224841969090560</t>
  </si>
  <si>
    <t>1481771374859677696</t>
  </si>
  <si>
    <t>1550520199383658496</t>
  </si>
  <si>
    <t>1645492818885120001</t>
  </si>
  <si>
    <t>1482918321024802820</t>
  </si>
  <si>
    <t>1482604637350170625</t>
  </si>
  <si>
    <t>1528590584671510530</t>
  </si>
  <si>
    <t>1482604823069749248</t>
  </si>
  <si>
    <t>1468276420510027777</t>
  </si>
  <si>
    <t>1553406502152523777</t>
  </si>
  <si>
    <t>1543225814455422978</t>
  </si>
  <si>
    <t>1561121868098068480</t>
  </si>
  <si>
    <t>1551891930619019266</t>
  </si>
  <si>
    <t>1473911373255958528</t>
  </si>
  <si>
    <t>1480881385283809282</t>
  </si>
  <si>
    <t>1581641229728886789</t>
  </si>
  <si>
    <t>1482992605289799680</t>
  </si>
  <si>
    <t>1479792989702524932</t>
  </si>
  <si>
    <t>1486265497721372672</t>
  </si>
  <si>
    <t>1596172699813879808</t>
  </si>
  <si>
    <t>1543096380809310208</t>
  </si>
  <si>
    <t>1470498960720920576</t>
  </si>
  <si>
    <t>1475846674966671364</t>
  </si>
  <si>
    <t>1471136459255996426</t>
  </si>
  <si>
    <t>1471132284602368000</t>
  </si>
  <si>
    <t>1490175660689883136</t>
  </si>
  <si>
    <t>1469847013780967424</t>
  </si>
  <si>
    <t>1487647147185303554</t>
  </si>
  <si>
    <t>1474943167170371584</t>
  </si>
  <si>
    <t>1477928289683398656</t>
  </si>
  <si>
    <t>1495404226582773763</t>
  </si>
  <si>
    <t>1479975612764753922</t>
  </si>
  <si>
    <t>1471139886400892933</t>
  </si>
  <si>
    <t>1480522365876379650</t>
  </si>
  <si>
    <t>1468190384509440001</t>
  </si>
  <si>
    <t>1593159845322297344</t>
  </si>
  <si>
    <t>1703636295501976057</t>
  </si>
  <si>
    <t>1547181825969115136</t>
  </si>
  <si>
    <t>1603709587341074433</t>
  </si>
  <si>
    <t>1625736222651088897</t>
  </si>
  <si>
    <t>1538870530392006656</t>
  </si>
  <si>
    <t>1538762311732629504</t>
  </si>
  <si>
    <t>1476387785124712450</t>
  </si>
  <si>
    <t>1490644798889668615</t>
  </si>
  <si>
    <t>1571484280546807808</t>
  </si>
  <si>
    <t>1567544944809889793</t>
  </si>
  <si>
    <t>1579155925419425792</t>
  </si>
  <si>
    <t>1577967094263488512</t>
  </si>
  <si>
    <t>1530009013605236736</t>
  </si>
  <si>
    <t>1481094794273525760</t>
  </si>
  <si>
    <t>1473941328085934080</t>
  </si>
  <si>
    <t>1481802736819929091</t>
  </si>
  <si>
    <t>1481551323418214403</t>
  </si>
  <si>
    <t>1480878694906281987</t>
  </si>
  <si>
    <t>1634109971133792256</t>
  </si>
  <si>
    <t>1481089622889611264</t>
  </si>
  <si>
    <t>1592838663347769344</t>
  </si>
  <si>
    <t>1592914689058799616</t>
  </si>
  <si>
    <t>1477300579139395584</t>
  </si>
  <si>
    <t>1667671195565838338</t>
  </si>
  <si>
    <t>1480751791423700993</t>
  </si>
  <si>
    <t>1471692585999626243</t>
  </si>
  <si>
    <t>1533398940233523200</t>
  </si>
  <si>
    <t>1470031926467592195</t>
  </si>
  <si>
    <t>1634104453325549568</t>
  </si>
  <si>
    <t>1481766019639443459</t>
  </si>
  <si>
    <t>1496550473213841411</t>
  </si>
  <si>
    <t>1475627066351489028</t>
  </si>
  <si>
    <t>1478374766163726337</t>
  </si>
  <si>
    <t>1483244044251987970</t>
  </si>
  <si>
    <t>1578922518089707520</t>
  </si>
  <si>
    <t>1502768619536539649</t>
  </si>
  <si>
    <t>1470766040544075778</t>
  </si>
  <si>
    <t>1483661268859105280</t>
  </si>
  <si>
    <t>1477713089839570945</t>
  </si>
  <si>
    <t>1479042455064350721</t>
  </si>
  <si>
    <t>1481569463841746946</t>
  </si>
  <si>
    <t>1496508851952451586</t>
  </si>
  <si>
    <t>1485798827416518658</t>
  </si>
  <si>
    <t>1485796934308986880</t>
  </si>
  <si>
    <t>1610551191850881027</t>
  </si>
  <si>
    <t>1489208963480842240</t>
  </si>
  <si>
    <t>1489350367054004224</t>
  </si>
  <si>
    <t>1519719824318164992</t>
  </si>
  <si>
    <t>1481770013724135424</t>
  </si>
  <si>
    <t>1488511201390710790</t>
  </si>
  <si>
    <t>1538860465417338881</t>
  </si>
  <si>
    <t>1489127932312186884</t>
  </si>
  <si>
    <t>1492855313321836544</t>
  </si>
  <si>
    <t>1493217880342601728</t>
  </si>
  <si>
    <t>1491984099606556677</t>
  </si>
  <si>
    <t>1492024728638267393</t>
  </si>
  <si>
    <t>1483374205899276292</t>
  </si>
  <si>
    <t>1483603743010856960</t>
  </si>
  <si>
    <t>1494342829920845830</t>
  </si>
  <si>
    <t>1483605045338046467</t>
  </si>
  <si>
    <t>1483604211107774464</t>
  </si>
  <si>
    <t>1483623443170209793</t>
  </si>
  <si>
    <t>1483770199484829698</t>
  </si>
  <si>
    <t>1492887391253659648</t>
  </si>
  <si>
    <t>1493251296039632896</t>
  </si>
  <si>
    <t>1493157267478556674</t>
  </si>
  <si>
    <t>1480701298227888131</t>
  </si>
  <si>
    <t>1493254332262719492</t>
  </si>
  <si>
    <t>1486544046499590145</t>
  </si>
  <si>
    <t>1491301582444855297</t>
  </si>
  <si>
    <t>1491968962422194177</t>
  </si>
  <si>
    <t>1486458245665509378</t>
  </si>
  <si>
    <t>1507029335357759492</t>
  </si>
  <si>
    <t>1486879713302052866</t>
  </si>
  <si>
    <t>1494966646879899651</t>
  </si>
  <si>
    <t>1495333199509016578</t>
  </si>
  <si>
    <t>1489529343517020160</t>
  </si>
  <si>
    <t>1494648861591506949</t>
  </si>
  <si>
    <t>1494690623349149697</t>
  </si>
  <si>
    <t>1481511735458959360</t>
  </si>
  <si>
    <t>1481652804226002944</t>
  </si>
  <si>
    <t>1475714275498860545</t>
  </si>
  <si>
    <t>1480744545025343488</t>
  </si>
  <si>
    <t>1480755415759527938</t>
  </si>
  <si>
    <t>1494302187924893698</t>
  </si>
  <si>
    <t>1494345925312929793</t>
  </si>
  <si>
    <t>1490564008541569024</t>
  </si>
  <si>
    <t>1490937298279485443</t>
  </si>
  <si>
    <t>1507494430953345024</t>
  </si>
  <si>
    <t>1693243172670128294</t>
  </si>
  <si>
    <t>1546425733345529858</t>
  </si>
  <si>
    <t>1480390440427810816</t>
  </si>
  <si>
    <t>1480566900975304710</t>
  </si>
  <si>
    <t>1480663756153622530</t>
  </si>
  <si>
    <t>1480508469199446028</t>
  </si>
  <si>
    <t>1481277773759287298</t>
  </si>
  <si>
    <t>1600356919423959041</t>
  </si>
  <si>
    <t>1589126440712568832</t>
  </si>
  <si>
    <t>1605058251527032832</t>
  </si>
  <si>
    <t>1606175709759963136</t>
  </si>
  <si>
    <t>1607295419763286016</t>
  </si>
  <si>
    <t>1475061672951701507</t>
  </si>
  <si>
    <t>1480743882191036417</t>
  </si>
  <si>
    <t>1537740213354516480</t>
  </si>
  <si>
    <t>1534382291891343360</t>
  </si>
  <si>
    <t>1566057699023892480</t>
  </si>
  <si>
    <t>1554814727368638464</t>
  </si>
  <si>
    <t>1554715594561163264</t>
  </si>
  <si>
    <t>1459879341211353098</t>
  </si>
  <si>
    <t>1642873786419793920</t>
  </si>
  <si>
    <t>1472546120454737922</t>
  </si>
  <si>
    <t>1470540048713994240</t>
  </si>
  <si>
    <t>1482968293917196291</t>
  </si>
  <si>
    <t>1558998217710116864</t>
  </si>
  <si>
    <t>1575475636356796416</t>
  </si>
  <si>
    <t>1575321163118825472</t>
  </si>
  <si>
    <t>1575249425320280064</t>
  </si>
  <si>
    <t>1480513632668565505</t>
  </si>
  <si>
    <t>1480441878424154115</t>
  </si>
  <si>
    <t>1481204770233008130</t>
  </si>
  <si>
    <t>1478138909804535808</t>
  </si>
  <si>
    <t>1507715427803471876</t>
  </si>
  <si>
    <t>1526082771663196160</t>
  </si>
  <si>
    <t>1550407706028421121</t>
  </si>
  <si>
    <t>1484134929353314309</t>
  </si>
  <si>
    <t>1470253395801870339</t>
  </si>
  <si>
    <t>1477807299703963650</t>
  </si>
  <si>
    <t>1468182240215527431</t>
  </si>
  <si>
    <t>1584848492727398400</t>
  </si>
  <si>
    <t>1689061583383826432</t>
  </si>
  <si>
    <t>1472754193777651714</t>
  </si>
  <si>
    <t>1575090709987995649</t>
  </si>
  <si>
    <t>1488060091651670016</t>
  </si>
  <si>
    <t>1539974173417648132</t>
  </si>
  <si>
    <t>1482683368592777219</t>
  </si>
  <si>
    <t>1550103905744236545</t>
  </si>
  <si>
    <t>1482622486818979842</t>
  </si>
  <si>
    <t>1482326098788913153</t>
  </si>
  <si>
    <t>1528531114838867969</t>
  </si>
  <si>
    <t>1468253706575511556</t>
  </si>
  <si>
    <t>1553382475145318400</t>
  </si>
  <si>
    <t>1542008540000227329</t>
  </si>
  <si>
    <t>1561101654543732737</t>
  </si>
  <si>
    <t>1551880105219088386</t>
  </si>
  <si>
    <t>1473615277124325381</t>
  </si>
  <si>
    <t>1580901455388868608</t>
  </si>
  <si>
    <t>1479628745145159681</t>
  </si>
  <si>
    <t>1596120917779787776</t>
  </si>
  <si>
    <t>1542416829364436992</t>
  </si>
  <si>
    <t>1470226920117714949</t>
  </si>
  <si>
    <t>1471115337420926977</t>
  </si>
  <si>
    <t>1470975868184920066</t>
  </si>
  <si>
    <t>1490160582804504576</t>
  </si>
  <si>
    <t>1469833891997372416</t>
  </si>
  <si>
    <t>1487601397923446784</t>
  </si>
  <si>
    <t>1477873379856183297</t>
  </si>
  <si>
    <t>1495199195015573504</t>
  </si>
  <si>
    <t>1479746402603257857</t>
  </si>
  <si>
    <t>1471089323596419073</t>
  </si>
  <si>
    <t>1547045354763603968</t>
  </si>
  <si>
    <t>1603655143408693248</t>
  </si>
  <si>
    <t>1625718350222622720</t>
  </si>
  <si>
    <t>1571422480027488257</t>
  </si>
  <si>
    <t>1563841742473875456</t>
  </si>
  <si>
    <t>1577955853558173696</t>
  </si>
  <si>
    <t>1477285993615032320</t>
  </si>
  <si>
    <t>1667669385237118977</t>
  </si>
  <si>
    <t>1533110562024226816</t>
  </si>
  <si>
    <t>1502653021784014850</t>
  </si>
  <si>
    <t>1483656503257333763</t>
  </si>
  <si>
    <t>1610543672919199746</t>
  </si>
  <si>
    <t>1517801206605053952</t>
  </si>
  <si>
    <t>1507382812344991750</t>
  </si>
  <si>
    <t>55507370</t>
  </si>
  <si>
    <t>1038438863465664512</t>
  </si>
  <si>
    <t>1500793416</t>
  </si>
  <si>
    <t>1444604407228682248</t>
  </si>
  <si>
    <t>71436318</t>
  </si>
  <si>
    <t>1243804423001763841</t>
  </si>
  <si>
    <t>17128975</t>
  </si>
  <si>
    <t>1297510664148103168</t>
  </si>
  <si>
    <t>30201110</t>
  </si>
  <si>
    <t>1556156185979408384</t>
  </si>
  <si>
    <t>1334853481019056128</t>
  </si>
  <si>
    <t>3319260420</t>
  </si>
  <si>
    <t>114697372</t>
  </si>
  <si>
    <t>1472861286689959938</t>
  </si>
  <si>
    <t>1117990249806721024</t>
  </si>
  <si>
    <t>68304724</t>
  </si>
  <si>
    <t>1355632532</t>
  </si>
  <si>
    <t>1466651308102877187</t>
  </si>
  <si>
    <t>1226436091617505281</t>
  </si>
  <si>
    <t>1270980383761330176</t>
  </si>
  <si>
    <t>366987179</t>
  </si>
  <si>
    <t>185116088</t>
  </si>
  <si>
    <t>1279880442</t>
  </si>
  <si>
    <t>72274016</t>
  </si>
  <si>
    <t>82042655</t>
  </si>
  <si>
    <t>960555528387620864</t>
  </si>
  <si>
    <t>3177957847</t>
  </si>
  <si>
    <t>784904716509589504</t>
  </si>
  <si>
    <t>887743587579944960</t>
  </si>
  <si>
    <t>1524640649739259906</t>
  </si>
  <si>
    <t>940486643546386432</t>
  </si>
  <si>
    <t>4882851732</t>
  </si>
  <si>
    <t>1350872548620201985</t>
  </si>
  <si>
    <t>122804908</t>
  </si>
  <si>
    <t>1569478246772928512</t>
  </si>
  <si>
    <t>2421762716</t>
  </si>
  <si>
    <t>118646322</t>
  </si>
  <si>
    <t>122020937</t>
  </si>
  <si>
    <t>296177546</t>
  </si>
  <si>
    <t>452992293</t>
  </si>
  <si>
    <t>964268499991371776</t>
  </si>
  <si>
    <t>341715504</t>
  </si>
  <si>
    <t>909115761922150400</t>
  </si>
  <si>
    <t>1279322616247926789</t>
  </si>
  <si>
    <t>2714691272</t>
  </si>
  <si>
    <t>75519742</t>
  </si>
  <si>
    <t>1378270569842450432</t>
  </si>
  <si>
    <t>382522068</t>
  </si>
  <si>
    <t>1303252304301236224</t>
  </si>
  <si>
    <t>1512402793969029125</t>
  </si>
  <si>
    <t>1142030368742133760</t>
  </si>
  <si>
    <t>1227719379103571968</t>
  </si>
  <si>
    <t>1433433068283392007</t>
  </si>
  <si>
    <t>856934112250126336</t>
  </si>
  <si>
    <t>907897495044317185</t>
  </si>
  <si>
    <t>60570578</t>
  </si>
  <si>
    <t>1168746690</t>
  </si>
  <si>
    <t>61465123</t>
  </si>
  <si>
    <t>86012022</t>
  </si>
  <si>
    <t>246221699</t>
  </si>
  <si>
    <t>1595788273699299328</t>
  </si>
  <si>
    <t>1562088809579180037</t>
  </si>
  <si>
    <t>886878090768424960</t>
  </si>
  <si>
    <t>86311492</t>
  </si>
  <si>
    <t>1314975287294083073</t>
  </si>
  <si>
    <t>1369533748417495049</t>
  </si>
  <si>
    <t>2905814730</t>
  </si>
  <si>
    <t>1309506896294866950</t>
  </si>
  <si>
    <t>120968478</t>
  </si>
  <si>
    <t>2606229566</t>
  </si>
  <si>
    <t>191951600</t>
  </si>
  <si>
    <t/>
  </si>
  <si>
    <t>1546437200627527681</t>
  </si>
  <si>
    <t>1480600639784714243</t>
  </si>
  <si>
    <t>1589184916172197888</t>
  </si>
  <si>
    <t>1537770421541433344</t>
  </si>
  <si>
    <t>1480466966720618498</t>
  </si>
  <si>
    <t>1689117614520549377</t>
  </si>
  <si>
    <t>1550519284253593601</t>
  </si>
  <si>
    <t>1482909057988325377</t>
  </si>
  <si>
    <t>1482434827274309634</t>
  </si>
  <si>
    <t>1528541642831298560</t>
  </si>
  <si>
    <t>1603656961601699840</t>
  </si>
  <si>
    <t>1625720719840804866</t>
  </si>
  <si>
    <t>1567535661204516865</t>
  </si>
  <si>
    <t>1577955869748101120</t>
  </si>
  <si>
    <t>1483211345042735104</t>
  </si>
  <si>
    <t>1483168928209977344</t>
  </si>
  <si>
    <t>1494307877430857733</t>
  </si>
  <si>
    <t>1483477489855115266</t>
  </si>
  <si>
    <t>1140084771453714432</t>
  </si>
  <si>
    <t>1309131860186927104</t>
  </si>
  <si>
    <t>1089050493790216192</t>
  </si>
  <si>
    <t>1440815195354370053</t>
  </si>
  <si>
    <t>1535821269916327936</t>
  </si>
  <si>
    <t>1530389585251147777</t>
  </si>
  <si>
    <t>1132296517400768512</t>
  </si>
  <si>
    <t>1413460268756045835</t>
  </si>
  <si>
    <t>1343817405596745728</t>
  </si>
  <si>
    <t>1413684899127590914</t>
  </si>
  <si>
    <t>1517491868690690051</t>
  </si>
  <si>
    <t>1101147210924744704</t>
  </si>
  <si>
    <t>1462263839701942274</t>
  </si>
  <si>
    <t>1201876643914174464</t>
  </si>
  <si>
    <t>834101829793230848</t>
  </si>
  <si>
    <t>1330144760636596228</t>
  </si>
  <si>
    <t>1542925079142551552</t>
  </si>
  <si>
    <t>1122521081489657857</t>
  </si>
  <si>
    <t>1429084019803652100</t>
  </si>
  <si>
    <t>1370342966988922881</t>
  </si>
  <si>
    <t>710270182598512641</t>
  </si>
  <si>
    <t>1394715956971286529</t>
  </si>
  <si>
    <t>1477676863283609603</t>
  </si>
  <si>
    <t>1454608993456775171</t>
  </si>
  <si>
    <t>1278970986239610880</t>
  </si>
  <si>
    <t>1335463599012122626</t>
  </si>
  <si>
    <t>1189715504530722816</t>
  </si>
  <si>
    <t>1346819369104416768</t>
  </si>
  <si>
    <t>1551184912509976576</t>
  </si>
  <si>
    <t>1604110356183293953</t>
  </si>
  <si>
    <t>1332673577062080515</t>
  </si>
  <si>
    <t>1399290283309735938</t>
  </si>
  <si>
    <t>1226102794551095297</t>
  </si>
  <si>
    <t>1028124533201371136</t>
  </si>
  <si>
    <t>1541088821139632130</t>
  </si>
  <si>
    <t>1465975872633159682</t>
  </si>
  <si>
    <t>1215556289540968449</t>
  </si>
  <si>
    <t>804501241594191872</t>
  </si>
  <si>
    <t>817726730420953090</t>
  </si>
  <si>
    <t>1341577020174528512</t>
  </si>
  <si>
    <t>1282751327588585473</t>
  </si>
  <si>
    <t>1568936654718795776</t>
  </si>
  <si>
    <t>787175266908934144</t>
  </si>
  <si>
    <t>1391665671398858752</t>
  </si>
  <si>
    <t>1219890224936783874</t>
  </si>
  <si>
    <t>1267950436297785348</t>
  </si>
  <si>
    <t>1556242640320233472</t>
  </si>
  <si>
    <t>1221255113848700928</t>
  </si>
  <si>
    <t>1506352668947918850</t>
  </si>
  <si>
    <t>1529689188274122752</t>
  </si>
  <si>
    <t>1156768706648666112</t>
  </si>
  <si>
    <t>1072735712527572992</t>
  </si>
  <si>
    <t>1340279925513670658</t>
  </si>
  <si>
    <t>961792402057932801</t>
  </si>
  <si>
    <t>1358053455621812224</t>
  </si>
  <si>
    <t>1220001613361770497</t>
  </si>
  <si>
    <t>1344904391367643136</t>
  </si>
  <si>
    <t>849187851065479168</t>
  </si>
  <si>
    <t>1268568931414900736</t>
  </si>
  <si>
    <t>1249192745844891649</t>
  </si>
  <si>
    <t>1071219362768416768</t>
  </si>
  <si>
    <t>1084793854073532416</t>
  </si>
  <si>
    <t>1134174447273881600</t>
  </si>
  <si>
    <t>1007504707038789632</t>
  </si>
  <si>
    <t>1283276851662602240</t>
  </si>
  <si>
    <t>901340008820260864</t>
  </si>
  <si>
    <t>1485579860282339328</t>
  </si>
  <si>
    <t>1464279308499881997</t>
  </si>
  <si>
    <t>1333741476153421825</t>
  </si>
  <si>
    <t>923263651368202240</t>
  </si>
  <si>
    <t>1398702978421297161</t>
  </si>
  <si>
    <t>1416724448619552769</t>
  </si>
  <si>
    <t>853069924956160000</t>
  </si>
  <si>
    <t>1040306964100669440</t>
  </si>
  <si>
    <t>1268015036213030912</t>
  </si>
  <si>
    <t>1450766740036603910</t>
  </si>
  <si>
    <t>akun_hibahan</t>
  </si>
  <si>
    <t>tambaati_</t>
  </si>
  <si>
    <t>encus_susi</t>
  </si>
  <si>
    <t>chunardh</t>
  </si>
  <si>
    <t>moenokrajoendah</t>
  </si>
  <si>
    <t>anyendia</t>
  </si>
  <si>
    <t>bangzhack86</t>
  </si>
  <si>
    <t>lingsir_wengi16</t>
  </si>
  <si>
    <t>qtrix</t>
  </si>
  <si>
    <t>aziemramsey</t>
  </si>
  <si>
    <t>esusi2016</t>
  </si>
  <si>
    <t>durianruntuah</t>
  </si>
  <si>
    <t>misstince</t>
  </si>
  <si>
    <t>vivayogamauladi</t>
  </si>
  <si>
    <t>sutanmangarahrp</t>
  </si>
  <si>
    <t>galih_akek2</t>
  </si>
  <si>
    <t>ncahyo80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</si>
  <si>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</si>
  <si>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</si>
  <si>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</si>
  <si>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</si>
  <si>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</si>
  <si>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</si>
  <si>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</si>
  <si>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</si>
  <si>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</si>
  <si>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</si>
  <si>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</si>
  <si>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</si>
  <si>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</si>
  <si>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</si>
  <si>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</si>
  <si>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</si>
  <si>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</si>
  <si>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</si>
  <si>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</si>
  <si>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</si>
  <si>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</si>
  <si>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</si>
  <si>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</si>
  <si>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</si>
  <si>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</si>
  <si>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</si>
  <si>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</si>
  <si>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</si>
  <si>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</si>
  <si>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</si>
  <si>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</si>
  <si>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</si>
  <si>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</si>
  <si>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</si>
  <si>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</si>
  <si>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</si>
  <si>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</si>
  <si>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Arief Poyuono</t>
  </si>
  <si>
    <t>_xD83C__xDD70_dhiC1huyy _xD83D__xDC4D__xD83C__xDFFB_☕_xD83D__xDEAC_❤_xD83C__xDDF2__xD83C__xDDE8_</t>
  </si>
  <si>
    <t>sahabat bangsa</t>
  </si>
  <si>
    <t>AA LaNyalla MM</t>
  </si>
  <si>
    <t>sibahutttt,,,,,</t>
  </si>
  <si>
    <t>tvOnenews</t>
  </si>
  <si>
    <t>Kasman</t>
  </si>
  <si>
    <t>Febri Diansyah</t>
  </si>
  <si>
    <t>AkalSEHAT720429</t>
  </si>
  <si>
    <t>Bahlil Lahadalia</t>
  </si>
  <si>
    <t>Zoul_Lw</t>
  </si>
  <si>
    <t>KOMPAS TV</t>
  </si>
  <si>
    <t>CNN Indonesia</t>
  </si>
  <si>
    <t>Democrazy News</t>
  </si>
  <si>
    <t>Geisz Chalifah</t>
  </si>
  <si>
    <t>Pung Purwanto</t>
  </si>
  <si>
    <t>Parahyanganpost.com</t>
  </si>
  <si>
    <t>achmadbie</t>
  </si>
  <si>
    <t>Muhammad Said Didu</t>
  </si>
  <si>
    <t>Ahmad Gazali</t>
  </si>
  <si>
    <t>Ali Syarief</t>
  </si>
  <si>
    <t>taufiq</t>
  </si>
  <si>
    <t>Maudy Asmara</t>
  </si>
  <si>
    <t>GELORA NEWS</t>
  </si>
  <si>
    <t>Musni Umar</t>
  </si>
  <si>
    <t>かいり</t>
  </si>
  <si>
    <t>Rustriningsih</t>
  </si>
  <si>
    <t>Elzusmar</t>
  </si>
  <si>
    <t>Slm'73</t>
  </si>
  <si>
    <t>Mertaperwira</t>
  </si>
  <si>
    <t>coky</t>
  </si>
  <si>
    <t>Miss Zeph</t>
  </si>
  <si>
    <t>Fahira Idris DPD RI</t>
  </si>
  <si>
    <t>Yeni Ekawati</t>
  </si>
  <si>
    <t>Refly Harun</t>
  </si>
  <si>
    <t>@yoeng_Y.Iskandar</t>
  </si>
  <si>
    <t>Papa Loren</t>
  </si>
  <si>
    <t>Intanwarhani</t>
  </si>
  <si>
    <t>Keuangan News</t>
  </si>
  <si>
    <t>Luruskanlah jalan kami...</t>
  </si>
  <si>
    <t>ANTI DINASTI</t>
  </si>
  <si>
    <t>Joko Widodo</t>
  </si>
  <si>
    <t>cakra De 81</t>
  </si>
  <si>
    <t>Pengabdi</t>
  </si>
  <si>
    <t>arie bramban</t>
  </si>
  <si>
    <t>Change.org Indonesia</t>
  </si>
  <si>
    <t>Ali Saiboo</t>
  </si>
  <si>
    <t>Pahmi Lubis</t>
  </si>
  <si>
    <t>Viral</t>
  </si>
  <si>
    <t>OposisiCerdas.com</t>
  </si>
  <si>
    <t>Pak Kumis #Save2024</t>
  </si>
  <si>
    <t>wawan_iwan</t>
  </si>
  <si>
    <t>Mahfud MD</t>
  </si>
  <si>
    <t>2DJ'03</t>
  </si>
  <si>
    <t>B€¥</t>
  </si>
  <si>
    <t>J H</t>
  </si>
  <si>
    <t>Mata Najwa</t>
  </si>
  <si>
    <t>Cipta Panca Laksana</t>
  </si>
  <si>
    <t>Andre Fachniadin</t>
  </si>
  <si>
    <t>بنيان مرصوص</t>
  </si>
  <si>
    <t>Helmi Felis</t>
  </si>
  <si>
    <t>DPD PARTAI UMMAT KOTA DEPOK</t>
  </si>
  <si>
    <t>DPP Partai Ummat</t>
  </si>
  <si>
    <t>GARDAUMMAT_OFFICIAL</t>
  </si>
  <si>
    <t>MSKaban</t>
  </si>
  <si>
    <t>Buniyani</t>
  </si>
  <si>
    <t>Ridho Rahmadi</t>
  </si>
  <si>
    <t>Amien Rais Official</t>
  </si>
  <si>
    <t>HeNdRi ChaNiaGO</t>
  </si>
  <si>
    <t>Umiyati</t>
  </si>
  <si>
    <t>ferden</t>
  </si>
  <si>
    <t>Multiprima</t>
  </si>
  <si>
    <t>Nurhanip16</t>
  </si>
  <si>
    <t>Ruhut Sitompul</t>
  </si>
  <si>
    <t>Divisi Humas Polri</t>
  </si>
  <si>
    <t>Petrodes Mega Keliduan</t>
  </si>
  <si>
    <t>Muhammad Hidayat</t>
  </si>
  <si>
    <t>Iyan</t>
  </si>
  <si>
    <t>Ganjar Pranowo</t>
  </si>
  <si>
    <t>Risma Widiono</t>
  </si>
  <si>
    <t>John Black</t>
  </si>
  <si>
    <t>Dr. Rizal Ramli</t>
  </si>
  <si>
    <t>#MP</t>
  </si>
  <si>
    <t>nama tidak boleh kosong</t>
  </si>
  <si>
    <t>Sun Chun Ard</t>
  </si>
  <si>
    <t>PribumiAyoBangkit #Indonesia for Indonesian</t>
  </si>
  <si>
    <t>_xD835__xDCEA__xD835__xDCF7__xD835__xDCFD__xD835__xDCF2_ _xD835__xDCF9__xD835__xDCF8__xD835__xDCF5__xD835__xDCF2__xD835__xDCFD__xD835__xDCF2__xD835__xDCF4_ _xD835__xDCF2__xD835__xDCED__xD835__xDCEE__xD835__xDCF7__xD835__xDCFD__xD835__xDCF2__xD835__xDCFD__xD835__xDCEA__xD835__xDCFC_</t>
  </si>
  <si>
    <t>Denny Indrayana</t>
  </si>
  <si>
    <t>GVD VANDINNIE</t>
  </si>
  <si>
    <t>Bejo Mulyo Selamanya</t>
  </si>
  <si>
    <t>Mak Nyinyik</t>
  </si>
  <si>
    <t>ONLY NEWS</t>
  </si>
  <si>
    <t>Aba Jijeh</t>
  </si>
  <si>
    <t>Ahmad Muda</t>
  </si>
  <si>
    <t>Indonesia Lawyers Club</t>
  </si>
  <si>
    <t>Wong Takon</t>
  </si>
  <si>
    <t>Bisnis.com</t>
  </si>
  <si>
    <t>Daily News Indonesia</t>
  </si>
  <si>
    <t>UNIV. NEGERI JAKARTA</t>
  </si>
  <si>
    <t>M.Margani</t>
  </si>
  <si>
    <t>Ahmad Heryawan</t>
  </si>
  <si>
    <t>Tifatul Sembiring</t>
  </si>
  <si>
    <t>gigin praginanto</t>
  </si>
  <si>
    <t>Mahkamah Konstitusi</t>
  </si>
  <si>
    <t>Fraksi PKS DPR RI</t>
  </si>
  <si>
    <t>Hidayat Nur Wahid</t>
  </si>
  <si>
    <t>DPP PKS</t>
  </si>
  <si>
    <t>Mardani Ali Sera</t>
  </si>
  <si>
    <t>Maman Domara</t>
  </si>
  <si>
    <t>Arung Wardhana Ellhafifie</t>
  </si>
  <si>
    <t>Puan Maharani</t>
  </si>
  <si>
    <t>Khofifah Indar Parawansa</t>
  </si>
  <si>
    <t>Prabowo Subianto</t>
  </si>
  <si>
    <t>_xD83C__xDDF5__xD83C__xDDF8_</t>
  </si>
  <si>
    <t>Anies Rasyid Baswedan</t>
  </si>
  <si>
    <t>Ridwan Kamil</t>
  </si>
  <si>
    <t>pejuang receh</t>
  </si>
  <si>
    <t>Marlina ▪︎ mawar _xD83C__xDF39_</t>
  </si>
  <si>
    <t>Dta_</t>
  </si>
  <si>
    <t>Eni Rosita</t>
  </si>
  <si>
    <t>ITD NEWS</t>
  </si>
  <si>
    <t>Nicho Silalahi</t>
  </si>
  <si>
    <t>Nurul Fatqi</t>
  </si>
  <si>
    <t>Anunk Salsabielafauziyah</t>
  </si>
  <si>
    <t>zee Noor</t>
  </si>
  <si>
    <t>Partai Demokrat</t>
  </si>
  <si>
    <t>Rizmaya</t>
  </si>
  <si>
    <t>Siregar Margana</t>
  </si>
  <si>
    <t>ihsanNuzal</t>
  </si>
  <si>
    <t>Mel ayani</t>
  </si>
  <si>
    <t>E Supriatna</t>
  </si>
  <si>
    <t>Reihan Djaya</t>
  </si>
  <si>
    <t>M.Ghufron</t>
  </si>
  <si>
    <t>Iwi</t>
  </si>
  <si>
    <t>Untung Beriman</t>
  </si>
  <si>
    <t>Hud Suhargono</t>
  </si>
  <si>
    <t>Partai Golkar</t>
  </si>
  <si>
    <t>Partai Gerindra</t>
  </si>
  <si>
    <t>FADLI ZON (Youtube: Fadli Zon Official)</t>
  </si>
  <si>
    <t>Rakyat Jelita</t>
  </si>
  <si>
    <t>Tamsil Linrung Official</t>
  </si>
  <si>
    <t>Haris Pertama</t>
  </si>
  <si>
    <t>Sutan Mangara Harahap</t>
  </si>
  <si>
    <t>DPP KNPI</t>
  </si>
  <si>
    <t>_Bang Hans_</t>
  </si>
  <si>
    <t>Jansen Sitindaon</t>
  </si>
  <si>
    <t>️️️️ ️️️️️️️️</t>
  </si>
  <si>
    <t>Erick Thohir</t>
  </si>
  <si>
    <t>DPP PAN</t>
  </si>
  <si>
    <t>ZULkifli Hasan</t>
  </si>
  <si>
    <t>Dimas Prakoso Akbar</t>
  </si>
  <si>
    <t>Senator Indonesia</t>
  </si>
  <si>
    <t>Yan A. Harahap (_xD835__xDC18_ _xD835__xDC00_ _xD835__xDC07_)</t>
  </si>
  <si>
    <t>BEM UI</t>
  </si>
  <si>
    <t>Akmal</t>
  </si>
  <si>
    <t>_xD83C__xDF38_ Bebeb Bubu _xD83C__xDF38_</t>
  </si>
  <si>
    <t>RADIKALISME _xD83D__xDCA1_</t>
  </si>
  <si>
    <t>Listyo Sigit Prabowo</t>
  </si>
  <si>
    <t>CintaNirmala’s</t>
  </si>
  <si>
    <t>Ikhlas Tanpa Batas</t>
  </si>
  <si>
    <t>Hudi Sambodo</t>
  </si>
  <si>
    <t>Awokwokwokwokk</t>
  </si>
  <si>
    <t>Deslini</t>
  </si>
  <si>
    <t>صالح بن عبدالجيد Jamlean</t>
  </si>
  <si>
    <t>My Putun</t>
  </si>
  <si>
    <t>❤️Yang_Terdalam一❤️</t>
  </si>
  <si>
    <t>Kelana</t>
  </si>
  <si>
    <t>Sweety_xD83C__xDF39_</t>
  </si>
  <si>
    <t>Mr.KANG UTANK</t>
  </si>
  <si>
    <t>Iyang25</t>
  </si>
  <si>
    <t>Nur asror</t>
  </si>
  <si>
    <t>Agus_Wayandak</t>
  </si>
  <si>
    <t>Bahri almumtadz.</t>
  </si>
  <si>
    <t>Januar EL-Asgary</t>
  </si>
  <si>
    <t>DayatPondok</t>
  </si>
  <si>
    <t>Si Kasuk</t>
  </si>
  <si>
    <t>Anto@</t>
  </si>
  <si>
    <t>There</t>
  </si>
  <si>
    <t>Zahra</t>
  </si>
  <si>
    <t>DanteSpeak _xD83C__xDDF5__xD83C__xDDF8_</t>
  </si>
  <si>
    <t>IIIIIIHex_xD83C__xDF40_⚔️_xD83C__xDDEE__xD83C__xDDE9__xD83C__xDDF5__xD83C__xDDF8_</t>
  </si>
  <si>
    <t>Cordova_xD83D__xDE42_lagi</t>
  </si>
  <si>
    <t>Zay3456</t>
  </si>
  <si>
    <t>distributor pupuk</t>
  </si>
  <si>
    <t>dewi</t>
  </si>
  <si>
    <t>PetrukDadiRatu</t>
  </si>
  <si>
    <t>,</t>
  </si>
  <si>
    <t>_xD83C__xDDEE__xD83C__xDDE9_ᴡᴀʀᴛᴇɢ ᴘᴇᴅᴊᴏᴇᴀɴɢ ✊️_xD83C__xDDEE__xD83C__xDDE9_</t>
  </si>
  <si>
    <t>boetix _xD83C__xDDF5__xD83C__xDDF8_</t>
  </si>
  <si>
    <t>Gewel sholih Moch Sholihin Aly syahbana</t>
  </si>
  <si>
    <t>Rosana _xD83C__xDF39_</t>
  </si>
  <si>
    <t>SecrethManZ</t>
  </si>
  <si>
    <t>_xD835__xDCDF__xD835__xDCEE__xD835__xDCF7__xD835__xDCFE__xD835__xDCF7__xD835__xDCF0__xD835__xDCF0__xD835__xDCFE_ _xD835__xDCD6__xD835__xDCFE__xD835__xDCED__xD835__xDCEA__xD835__xDCF7__xD835__xDCF0_ _xD83D__xDD77_️</t>
  </si>
  <si>
    <t>#BUMNGATE</t>
  </si>
  <si>
    <t>Undin Sanusi Reborn</t>
  </si>
  <si>
    <t>Odang A Z</t>
  </si>
  <si>
    <t>Syafril Sjofyan</t>
  </si>
  <si>
    <t>YouTube</t>
  </si>
  <si>
    <t>05.00. WIB</t>
  </si>
  <si>
    <t>Oemar</t>
  </si>
  <si>
    <t>LaNyalla Academia {LNM}</t>
  </si>
  <si>
    <t>Yoseph Rosario</t>
  </si>
  <si>
    <t>HILMI HASAN</t>
  </si>
  <si>
    <t>DPP PSI</t>
  </si>
  <si>
    <t>Terapung</t>
  </si>
  <si>
    <t>hermin ❤_xD83D__xDD4B__xD83C__xDDF2__xD83C__xDDE8__xD83C__xDDF5__xD83C__xDDF8_❤</t>
  </si>
  <si>
    <t>Semar Ngopi</t>
  </si>
  <si>
    <t>el Livia</t>
  </si>
  <si>
    <t>Kuli bangunan</t>
  </si>
  <si>
    <t>_xD835__xDDE0__xD835__xDDFF_. _xD835__xDDE5__xD835__xDDFC_ ♏</t>
  </si>
  <si>
    <t>Ihsan</t>
  </si>
  <si>
    <t>Bang Dar</t>
  </si>
  <si>
    <t>JUBI NEWS</t>
  </si>
  <si>
    <t>Rudy Hartono</t>
  </si>
  <si>
    <t>joelia - kinda ia</t>
  </si>
  <si>
    <t>Convomf</t>
  </si>
  <si>
    <t>Ummu Arga</t>
  </si>
  <si>
    <t>Conan</t>
  </si>
  <si>
    <t>B r o î m</t>
  </si>
  <si>
    <t>Aku bukan siapa siapa</t>
  </si>
  <si>
    <t>Lambe Waras</t>
  </si>
  <si>
    <t>I.S.A</t>
  </si>
  <si>
    <t>NegeriMimpi</t>
  </si>
  <si>
    <t>KRMT Roy Suryo</t>
  </si>
  <si>
    <t>Rasyid Amri</t>
  </si>
  <si>
    <t>amrullah kareem</t>
  </si>
  <si>
    <t>Nayla Azkia ⚘⚘⚘</t>
  </si>
  <si>
    <t>Adelya Argentiana</t>
  </si>
  <si>
    <t>Julie</t>
  </si>
  <si>
    <t>Raya shanum</t>
  </si>
  <si>
    <t>Abah Piaman New</t>
  </si>
  <si>
    <t>ROY</t>
  </si>
  <si>
    <t>_xD83C__xDD70_️bah _xD83C__xDD7F_️ℹ️aⓂ️an</t>
  </si>
  <si>
    <t>NEGARA GAGAL</t>
  </si>
  <si>
    <t>Nasirudin Manan</t>
  </si>
  <si>
    <t>Partai Gelora Indonesia</t>
  </si>
  <si>
    <t>#AyoMoveOn2024</t>
  </si>
  <si>
    <t>Ayah Rachman</t>
  </si>
  <si>
    <t>Adek Bintank</t>
  </si>
  <si>
    <t>AMIN SATU PUTARAN</t>
  </si>
  <si>
    <t>ForBetterIndonesia_xD83D__xDCAA_</t>
  </si>
  <si>
    <t>Susi Pudjiastuti</t>
  </si>
  <si>
    <t>Slm'70</t>
  </si>
  <si>
    <t>_xD83D__xDD25_</t>
  </si>
  <si>
    <t>Alvin Lie ✈⚽</t>
  </si>
  <si>
    <t>Hisyam Mochtar</t>
  </si>
  <si>
    <t>AcoyBK</t>
  </si>
  <si>
    <t>ADHIE M MASSARDI</t>
  </si>
  <si>
    <t>Monica</t>
  </si>
  <si>
    <t>Raka</t>
  </si>
  <si>
    <t>Distorsi</t>
  </si>
  <si>
    <t>Ratu Typo_xD83D__xDC9E_</t>
  </si>
  <si>
    <t>Tamba Ati _xD83C__xDDE6__xD83C__xDDEA_</t>
  </si>
  <si>
    <t>BaiQ-BaiQsaja _xD83D__xDC95__xD83C__xDD97_️</t>
  </si>
  <si>
    <t>Sun Chun Ardh</t>
  </si>
  <si>
    <t>_xD83C__xDDF3_‌_xD83C__xDDF2_‌__xD83C__xDDF2_‌_xD83C__xDDF4_‌_xD83C__xDDEA_‌_xD83C__xDDF3_‌_xD83C__xDDF4_‌_xD83C__xDDF0_‌_xD83C__xDDF5__xD83C__xDDF8__xD83C__xDDEE__xD83C__xDDE9_</t>
  </si>
  <si>
    <t>ae</t>
  </si>
  <si>
    <t>bang Zhack _xD83D__xDD0A_ _xD83C__xDFF4_✊️</t>
  </si>
  <si>
    <t>Yayuk_Lestari12 _xD83C__xDDEE__xD83C__xDDE9_❤_xD83C__xDDF5__xD83C__xDDF8_</t>
  </si>
  <si>
    <t>Ҡąժɾմղ ąʂӀì _xD83D__xDC2A__xD83D__xDC2A__xD83C__xDDEE__xD83C__xDDE9__xD83C__xDDEF__xD83C__xDDF4_</t>
  </si>
  <si>
    <t>east chili _xD83C__xDF36_️</t>
  </si>
  <si>
    <t>@786erni</t>
  </si>
  <si>
    <t>Durian Runtuah</t>
  </si>
  <si>
    <t>ZeroWaste</t>
  </si>
  <si>
    <t>Viva Yoga Mauladi</t>
  </si>
  <si>
    <t>ADG_xD83C__xDDF5__xD83C__xDDF8_</t>
  </si>
  <si>
    <t>_xD83C__xDDEE__xD83C__xDDE9_DeglenG_xD83C__xDDEE__xD83C__xDDE9_</t>
  </si>
  <si>
    <t>orang desa biasa</t>
  </si>
  <si>
    <t>1903785632</t>
  </si>
  <si>
    <t>1135811630728540160</t>
  </si>
  <si>
    <t>131800607</t>
  </si>
  <si>
    <t>276847477</t>
  </si>
  <si>
    <t>893021132</t>
  </si>
  <si>
    <t>577255692</t>
  </si>
  <si>
    <t>1241133782805008385</t>
  </si>
  <si>
    <t>292148810</t>
  </si>
  <si>
    <t>322726050</t>
  </si>
  <si>
    <t>97328251</t>
  </si>
  <si>
    <t>163947327</t>
  </si>
  <si>
    <t>563483976</t>
  </si>
  <si>
    <t>3181369904</t>
  </si>
  <si>
    <t>34505885</t>
  </si>
  <si>
    <t>282006208</t>
  </si>
  <si>
    <t>1390890588539555842</t>
  </si>
  <si>
    <t>1387959208146980864</t>
  </si>
  <si>
    <t>1471731813034823690</t>
  </si>
  <si>
    <t>1291617813627457537</t>
  </si>
  <si>
    <t>810746867713601536</t>
  </si>
  <si>
    <t>1391996708637200387</t>
  </si>
  <si>
    <t>720820576571404288</t>
  </si>
  <si>
    <t>219244515</t>
  </si>
  <si>
    <t>138290629</t>
  </si>
  <si>
    <t>109762193</t>
  </si>
  <si>
    <t>73938469</t>
  </si>
  <si>
    <t>61361871</t>
  </si>
  <si>
    <t>938664737369341952</t>
  </si>
  <si>
    <t>501544483</t>
  </si>
  <si>
    <t>183832491</t>
  </si>
  <si>
    <t>83867535</t>
  </si>
  <si>
    <t>517105241</t>
  </si>
  <si>
    <t>91255162</t>
  </si>
  <si>
    <t>22365191</t>
  </si>
  <si>
    <t>1410866743271051267</t>
  </si>
  <si>
    <t>253418739</t>
  </si>
  <si>
    <t>40580714</t>
  </si>
  <si>
    <t>1058697273809326080</t>
  </si>
  <si>
    <t>110312278</t>
  </si>
  <si>
    <t>80323736</t>
  </si>
  <si>
    <t>719725925215170561</t>
  </si>
  <si>
    <t>453291086</t>
  </si>
  <si>
    <t>232178767</t>
  </si>
  <si>
    <t>248199104</t>
  </si>
  <si>
    <t>1418639065004449794</t>
  </si>
  <si>
    <t>1417516794</t>
  </si>
  <si>
    <t>92033108</t>
  </si>
  <si>
    <t>397673651</t>
  </si>
  <si>
    <t>79139422</t>
  </si>
  <si>
    <t>1399665230</t>
  </si>
  <si>
    <t>1355843073230553088</t>
  </si>
  <si>
    <t>1378422837422137346</t>
  </si>
  <si>
    <t>43088704</t>
  </si>
  <si>
    <t>1247925980</t>
  </si>
  <si>
    <t>187520592</t>
  </si>
  <si>
    <t>977870468</t>
  </si>
  <si>
    <t>231355136</t>
  </si>
  <si>
    <t>1431117605775949824</t>
  </si>
  <si>
    <t>1471210110</t>
  </si>
  <si>
    <t>2332613948</t>
  </si>
  <si>
    <t>4529416200</t>
  </si>
  <si>
    <t>1054217592645140480</t>
  </si>
  <si>
    <t>1109294246387814401</t>
  </si>
  <si>
    <t>1567483663545438209</t>
  </si>
  <si>
    <t>1574270436036452352</t>
  </si>
  <si>
    <t>373930288</t>
  </si>
  <si>
    <t>1574254714551930881</t>
  </si>
  <si>
    <t>1386553126904209415</t>
  </si>
  <si>
    <t>2151149754</t>
  </si>
  <si>
    <t>1291642381</t>
  </si>
  <si>
    <t>1342680011296317440</t>
  </si>
  <si>
    <t>1571806055939833856</t>
  </si>
  <si>
    <t>1263302861686882310</t>
  </si>
  <si>
    <t>1507910874627178500</t>
  </si>
  <si>
    <t>1564810229941817349</t>
  </si>
  <si>
    <t>1085810836466089985</t>
  </si>
  <si>
    <t>1337010126704676870</t>
  </si>
  <si>
    <t>1404630009856237569</t>
  </si>
  <si>
    <t>1541441482959503360</t>
  </si>
  <si>
    <t>1419108270875152389</t>
  </si>
  <si>
    <t>1577633793502236672</t>
  </si>
  <si>
    <t>1541060230083006470</t>
  </si>
  <si>
    <t>330116085</t>
  </si>
  <si>
    <t>1540179018250698752</t>
  </si>
  <si>
    <t>1386663031979999238</t>
  </si>
  <si>
    <t>1572573613626372096</t>
  </si>
  <si>
    <t>1405893419759587330</t>
  </si>
  <si>
    <t>66161662</t>
  </si>
  <si>
    <t>1496737110057189376</t>
  </si>
  <si>
    <t>1051088588400553985</t>
  </si>
  <si>
    <t>1412374538722058244</t>
  </si>
  <si>
    <t>95236648</t>
  </si>
  <si>
    <t>1571466725895573504</t>
  </si>
  <si>
    <t>1408756945591291907</t>
  </si>
  <si>
    <t>49373951</t>
  </si>
  <si>
    <t>620006235</t>
  </si>
  <si>
    <t>10228272</t>
  </si>
  <si>
    <t>732087001600548864</t>
  </si>
  <si>
    <t>1555344293170393088</t>
  </si>
  <si>
    <t>64611930</t>
  </si>
  <si>
    <t>3102442327</t>
  </si>
  <si>
    <t>1023114824</t>
  </si>
  <si>
    <t>852327811</t>
  </si>
  <si>
    <t>14951080</t>
  </si>
  <si>
    <t>221229468</t>
  </si>
  <si>
    <t>533765689</t>
  </si>
  <si>
    <t>1133032747847507968</t>
  </si>
  <si>
    <t>1129323932622905344</t>
  </si>
  <si>
    <t>1480542512901099525</t>
  </si>
  <si>
    <t>1416625333822844930</t>
  </si>
  <si>
    <t>1345224294041673729</t>
  </si>
  <si>
    <t>2377644162</t>
  </si>
  <si>
    <t>1179718333605658624</t>
  </si>
  <si>
    <t>1433255858</t>
  </si>
  <si>
    <t>18129942</t>
  </si>
  <si>
    <t>30648872</t>
  </si>
  <si>
    <t>1359071931153018881</t>
  </si>
  <si>
    <t>62854021</t>
  </si>
  <si>
    <t>3326635508</t>
  </si>
  <si>
    <t>1394295475545677830</t>
  </si>
  <si>
    <t>1463280235567222784</t>
  </si>
  <si>
    <t>1391408065027612676</t>
  </si>
  <si>
    <t>1465569231609597953</t>
  </si>
  <si>
    <t>470900510</t>
  </si>
  <si>
    <t>2883021576</t>
  </si>
  <si>
    <t>1359792684735500290</t>
  </si>
  <si>
    <t>1456610184411815936</t>
  </si>
  <si>
    <t>72368149</t>
  </si>
  <si>
    <t>860772012796530688</t>
  </si>
  <si>
    <t>723428311678865408</t>
  </si>
  <si>
    <t>1115601555179180032</t>
  </si>
  <si>
    <t>1075230547457134592</t>
  </si>
  <si>
    <t>264301708</t>
  </si>
  <si>
    <t>213587204</t>
  </si>
  <si>
    <t>1570105080241885184</t>
  </si>
  <si>
    <t>1385767067916271618</t>
  </si>
  <si>
    <t>KPK</t>
  </si>
  <si>
    <t>Depok, Jawa Barat</t>
  </si>
  <si>
    <t xml:space="preserve">indonesia </t>
  </si>
  <si>
    <t>DKI Jakarta, Indonesia</t>
  </si>
  <si>
    <t>Pulo Gadung, Indonesia</t>
  </si>
  <si>
    <t>Jakarta Capital Region</t>
  </si>
  <si>
    <t>ÜT: -6.184201,106.829548</t>
  </si>
  <si>
    <t>Pasar Minggu, Indonesia</t>
  </si>
  <si>
    <t>Jakarta</t>
  </si>
  <si>
    <t>-6.252543,106.806343</t>
  </si>
  <si>
    <t>Semarang</t>
  </si>
  <si>
    <t>DKI Jakarta</t>
  </si>
  <si>
    <t>jember, east java</t>
  </si>
  <si>
    <t>~#</t>
  </si>
  <si>
    <t>Gang Istana</t>
  </si>
  <si>
    <t>boekittinggi</t>
  </si>
  <si>
    <t>Bali, Indonesia</t>
  </si>
  <si>
    <t>Indonesia | refrizal@dpr.go.id</t>
  </si>
  <si>
    <t>multiverse</t>
  </si>
  <si>
    <t>Kota Utara, Indonesia</t>
  </si>
  <si>
    <t>Jakarta, Indonesia</t>
  </si>
  <si>
    <t>Earth</t>
  </si>
  <si>
    <t>Di Indonesia</t>
  </si>
  <si>
    <t>Kota Surabaya, Jawa Timur</t>
  </si>
  <si>
    <t>Indonesia Raya</t>
  </si>
  <si>
    <t>Jakarta Timur, DKI Jakarta</t>
  </si>
  <si>
    <t>Jawa Barat</t>
  </si>
  <si>
    <t>Jakarta Pusat, DKI Jakarta</t>
  </si>
  <si>
    <t>TB. Simatupang No. 82, Jakarta</t>
  </si>
  <si>
    <t>Jakarta to the World</t>
  </si>
  <si>
    <t>Jakarta Indonesia</t>
  </si>
  <si>
    <t>Jabar Juara Indonesia</t>
  </si>
  <si>
    <t xml:space="preserve">KPAD </t>
  </si>
  <si>
    <t>Jakarta Selatan, DKI Jakarta</t>
  </si>
  <si>
    <t xml:space="preserve">Indonesia </t>
  </si>
  <si>
    <t>Natar,lampung</t>
  </si>
  <si>
    <t>Sidoarjo, Indonesia</t>
  </si>
  <si>
    <t xml:space="preserve">Indonesia Raya </t>
  </si>
  <si>
    <t>Jakarta-Makassar</t>
  </si>
  <si>
    <t>Jakarta Capital Region, Indone</t>
  </si>
  <si>
    <t>Kritik Kebijakan Bukan Pribadi</t>
  </si>
  <si>
    <t>Dunia Fana</t>
  </si>
  <si>
    <t>Senayan - Jakarta - Indonesia</t>
  </si>
  <si>
    <t>Malaysia</t>
  </si>
  <si>
    <t>_xD83D__xDC95_</t>
  </si>
  <si>
    <t>Dunia ini panggung sandiwara</t>
  </si>
  <si>
    <t>Jayapura - Indonesia</t>
  </si>
  <si>
    <t>Al Mulku, Moloku Kie Raha</t>
  </si>
  <si>
    <t>in your place</t>
  </si>
  <si>
    <t>Kalimantan Tengah</t>
  </si>
  <si>
    <t>Di Bumi ALLAH.</t>
  </si>
  <si>
    <t>_xD83C__xDDEE__xD83C__xDDE9_</t>
  </si>
  <si>
    <t>masih di atas tanah</t>
  </si>
  <si>
    <t>Jagat Kasunyatan</t>
  </si>
  <si>
    <t xml:space="preserve">Near with your location </t>
  </si>
  <si>
    <t>BanSel, Indonesia</t>
  </si>
  <si>
    <t>Any Place I Like It</t>
  </si>
  <si>
    <t>Bandung</t>
  </si>
  <si>
    <t>San Bruno, CA</t>
  </si>
  <si>
    <t>Porto Ferreira, Brasil</t>
  </si>
  <si>
    <t xml:space="preserve">perahu rindu </t>
  </si>
  <si>
    <t>Jawa Barat, Indonesia</t>
  </si>
  <si>
    <t>West Papua</t>
  </si>
  <si>
    <t>Di Bumi Allah</t>
  </si>
  <si>
    <t>Universe , USA</t>
  </si>
  <si>
    <t>Bima Sakti, Bumi, Indonesia</t>
  </si>
  <si>
    <t>Instagram: @krmtroysuryo2</t>
  </si>
  <si>
    <t>jakarta indonesia</t>
  </si>
  <si>
    <t xml:space="preserve">comfortabe place </t>
  </si>
  <si>
    <t>Behind you</t>
  </si>
  <si>
    <t>cikeas,bogor</t>
  </si>
  <si>
    <t>dipinggir kolam butek .-</t>
  </si>
  <si>
    <t>Cengkareng, Indonesia</t>
  </si>
  <si>
    <t>Manchester, England</t>
  </si>
  <si>
    <t>the middle of nowhere</t>
  </si>
  <si>
    <t>suka suka gw</t>
  </si>
  <si>
    <t>Kampung Rakyat, Indonesia</t>
  </si>
  <si>
    <t>Jakarta -Yogyakarta - Dresden</t>
  </si>
  <si>
    <t>eart</t>
  </si>
  <si>
    <t>Bekasi Barat, Indonesia</t>
  </si>
  <si>
    <t>Jakarta,  Indonesia</t>
  </si>
  <si>
    <t>Prindavan</t>
  </si>
  <si>
    <t>Pembunuh Koruptor BUMN</t>
  </si>
  <si>
    <t>Ini Akun Pribadi Admin nya aye sendiri, Dan Hanya Lulusan SK (SarjanaKehidupan) Suka Aje RT &amp; Like Twit Temen.</t>
  </si>
  <si>
    <t>utk Indonesia yang lebih adil</t>
  </si>
  <si>
    <t>Ketua Dewan Perwakilan Daerah Republik Indonesia (DPD - RI)
https://t.co/U3kFHMwKDy</t>
  </si>
  <si>
    <t>berbuat baik tiket ke sorga
saya tidak tahu bilang apa nanti kepada dirimu Butet Alin,,,</t>
  </si>
  <si>
    <t>Official Account of tvOneNews</t>
  </si>
  <si>
    <t>Saya adalah seorang pekerja dan hobi baca dan tambah ilmu</t>
  </si>
  <si>
    <t>VISI LAW OFFICE | PBH - AAI (Pusat Bantuan Hukum Asosiasi Advokat Indonesia)</t>
  </si>
  <si>
    <t>Sedekah</t>
  </si>
  <si>
    <t>Akun Resmi Menteri Investasi/Kepala Badan Koordinasi Penanaman Modal (BKPM) | Investasi Untuk Kesejahteraan Rakyat, Membuka Jalan Untuk Semua</t>
  </si>
  <si>
    <t>SEKJEN PERGERAKN KEDAULATAN RAKYAT (PKR).Tidak membuang waktu untuk menyusun kata-kata INDAH. Tapi menggunakan waktu utk mel.  perbuatan yang INDAH. #BelaRakyat</t>
  </si>
  <si>
    <t>Akun resmi stasiun televisi berita Independen Terpercaya. FB: https://t.co/1r2RSJN5mh IG: https://t.co/7pIJrY4CnS YT: https://t.co/iHmi6jhGqS</t>
  </si>
  <si>
    <t>News We Can Trust.
redaksi@cnnindonesia.com | Download app: https://t.co/HmGpONJz9c &amp; https://t.co/5TVZnQYwDM</t>
  </si>
  <si>
    <t>Democrazy News - Indonesian Political News • Terkini, Independen, Akurat &amp; Kredibel - ✉️: democrazynews@gmail.com | https://t.co/SLLjzRdpeC</t>
  </si>
  <si>
    <t>Geisz Chalifah Channel.
https://t.co/q68VlRAJh9
Jakarta Melayu Festival Channel.
https://t.co/j61wtFZ95J</t>
  </si>
  <si>
    <t>Journalist 
IG @pungpurwanto_jr
FB Pung Purwanto
Youtube PungPurwanto</t>
  </si>
  <si>
    <t>Akun Official: Parahyangan Post
Menganut Prinsip Pers Perjuangan, bukan Industri Pers : e-mail : redaksi.parahyangan@gmail.com atau parahyanganpost@yahoo.co.id</t>
  </si>
  <si>
    <t>Katakan yang benar walau pahit! Gusur kebohongan dengan Akal Sehat.
Mention twitter adalah Pribadi.</t>
  </si>
  <si>
    <t>Bosku</t>
  </si>
  <si>
    <t>Journalist -  Cross Culture Lecturer - (Not Professor)
STAND OUT PRETTY WELL</t>
  </si>
  <si>
    <t>berusaha santun dan jujur</t>
  </si>
  <si>
    <t>Capricorn girl _xD83D__xDCAE__xD83C__xDF3A_ Random Tweet _xD83D__xDE0A_
PORNO, SPAM AUTO GUE BLOKIR!</t>
  </si>
  <si>
    <t>Gelora News - Menggelorakan Persatuan | Partner Rekat Indonesia Raya | Independen, Kritis dan Objektif | ✉️ : https://t.co/fks0ef5rxA</t>
  </si>
  <si>
    <t>Sociologist &amp; Researcher. Master of Sociology UI, Ph.D of Sociology UKM, Professor of Sociology</t>
  </si>
  <si>
    <t>BVEで北陸本線作ってます！</t>
  </si>
  <si>
    <t>...untuk Perjuangan Jawa Tengah menuju Indonesia Raya...</t>
  </si>
  <si>
    <t>Hidup menjadi indah ketika kita konsisten utk menjaga etika</t>
  </si>
  <si>
    <t>Berjuang</t>
  </si>
  <si>
    <t>Kebagian itu sederhana...dengan selalu bersyukur...</t>
  </si>
  <si>
    <t>#gakfollowporno
#antisyiah
#antielgibiti
#pemulungamaldankebaikan
#alwaysbehappyunconditionally</t>
  </si>
  <si>
    <t>Anggota @DPDRI Dapil Prov DKI Jakarta ❤ Ketum Gerakan Nasional @AntiMiras_ID ❤ Ketum @BangJaparFI ❤ WA 0818430086 &amp; 08170877686 ❤Email fahiraidris.dpd@gmail.com</t>
  </si>
  <si>
    <t>Salamun 'alaykum bima shabartum</t>
  </si>
  <si>
    <t>_xD83C__xDFAF_Constitutional Lawyer 
⛳Lecturer
_xD83D__xDEA9_Tak ikut perkubuan politik
_xD83D__xDCE2_ Tidak melayani makian._xD83D__xDE0A_</t>
  </si>
  <si>
    <t>Sy manusia yang masih belajar memahami bahwa 
hidup adalah penentuan untuk destinasi akhir*</t>
  </si>
  <si>
    <t>a Web Developer. Curious about Internet Security, SEO &amp; Digital Marketing || share personal opinion on issues of public concern</t>
  </si>
  <si>
    <t>Lewati dulu</t>
  </si>
  <si>
    <t>Akun Resmi Keuangan News Menyajikan Berita Investigasi Keuangan dan Politik.</t>
  </si>
  <si>
    <t>Akun Twitter resmi Presiden Republik Indonesia Joko Widodo _xD83C__xDDEE__xD83C__xDDE9_. 
#MenujuIndonesiaMaju</t>
  </si>
  <si>
    <t>maju trusss</t>
  </si>
  <si>
    <t>Keep on the track..!! Menuju Jalan Pulang. No Political Parties affiliation. Freedom.</t>
  </si>
  <si>
    <t>Tanpa Hati, Kata-Kata Menjadi Tak Berarti</t>
  </si>
  <si>
    <t>https://t.co/GnLzLGELOa memberdayakan siapa pun, di mana pun, untuk memulai dan memenangkan kampanye-kampanye sosial melalui petisi online.</t>
  </si>
  <si>
    <t>Kematian adlh kehidupan yg sebenarnya</t>
  </si>
  <si>
    <t>Fa inna ma'al usri yusra //
lnna ma'al usri yusra.</t>
  </si>
  <si>
    <t>Komisi XI DPRRI 2014-2019 Fraksi PKS |  EXCO PSSI 2016-2020 | Ketua Umum DPP PKDP &amp; Waketum DPP IKM | Penggagas @bedahlapau | Tegas&amp;tuntas dalam tindakan |</t>
  </si>
  <si>
    <t>Email : 
oposisicerdasnews@gmail.com</t>
  </si>
  <si>
    <t>‏‏manusia merdeka
۞اَللهُمَّ صَلِّ عَلَى سَيِّدِنَا مُحَمَّدٍ وَعَلَى آلِ سَيِّدِنَا مُحَمَّدٍ۞</t>
  </si>
  <si>
    <t>Sabar</t>
  </si>
  <si>
    <t>Menteri Koordinator Bidang Politik, Hukum, dan Keamanan RI
Kabinet Indonesia Maju 2019-2024</t>
  </si>
  <si>
    <t>in the road of Allah 
#JusticeForKM50 #FreedomForIBHRS #PasugarKM50 #FreePalestine #OpIsrael</t>
  </si>
  <si>
    <t>kejora</t>
  </si>
  <si>
    <t>#MelihatLebihDekat | Part of @narasitv | Musyawarah "Curhat Kena Hoax Jualan CD dan Usulan Debat Capres Biar Gak Garing" sudah tayang.</t>
  </si>
  <si>
    <t>Demokrat Deputy Isu dan Narasi Bakomstra #TwitPribadi #AntiMediaSampah subscribe youtube https://t.co/8HSteJBPwh</t>
  </si>
  <si>
    <t>There is no such thing as bad publicity is the notion that all mentions in the media aid a person's cause, even if they put them in a bad light.</t>
  </si>
  <si>
    <t>Official Partai Ummat Kota Depok
Jl.Naming D Bothin No. 08 RT 008 RW 019 Kel. Depok Kec. Pancoran Mas
WA 081389666212
Lawan Kedzaliman Tegakan Keadilan ☝️</t>
  </si>
  <si>
    <t>PARTAI UMMAT dideklarasikan pada 17 Ramadhan 1442 H bertepatan 29 April 2021 M.</t>
  </si>
  <si>
    <t>DPP GERAKAN GENERASI MUDA UMMAT
                                        Organisasi Kepemudaan Sayap PARTAI UMMAT</t>
  </si>
  <si>
    <t>Ketua Presidium Majelis Permusyawaratan Pribumi Indonesia; 
Ketua Majelis Syuro PBB 14 - 19; Ketum PBB 04 - 19; Menteri Kehutanan RI 04 - 09; DPR RI 99 - 04.</t>
  </si>
  <si>
    <t>Satire</t>
  </si>
  <si>
    <t>Ketua Umum DPP Partai Ummat | Data Scientist | Dosen UII | Akun dikelola oleh tim admin |</t>
  </si>
  <si>
    <t>Ketua Umum PP Muhammadiyah 1995-1998. ketua MPR-RI 1999-2004. ketua Umum PAN 1998-2005. Guru Besar Ilmu Politik UGM</t>
  </si>
  <si>
    <t>#LawanKezaliman #TegakkanKeadilan</t>
  </si>
  <si>
    <t>Aku suka kejujuran</t>
  </si>
  <si>
    <t>I am overseas worker in Kingdom of Saudi Arabia</t>
  </si>
  <si>
    <t>Youtube Channel : Ruhut P Sitompul |Instagram : @ruhutps |Facebook Fanpage : Ruhut P Sitompul</t>
  </si>
  <si>
    <t>IG, FB, Youtube, Snack Video, Tiktok @Divisihumaspolri 
(021) 72120599 Hotline</t>
  </si>
  <si>
    <t>| DPP Partai Rakyat - Pangkotama Kopatrev |</t>
  </si>
  <si>
    <t>in muslim</t>
  </si>
  <si>
    <t>I am work as an programer also sometimes as a musician. also a fan of Liverpool Football Club.</t>
  </si>
  <si>
    <t>“Tuanku ya Rakyat, Jabatan cuma Mandat”</t>
  </si>
  <si>
    <t>We don't know what we don't know, disingkat Wkwkwk
✍ AB</t>
  </si>
  <si>
    <t>#saverempang
#dragonnotforsale
_xD83C__xDDF5__xD83C__xDDF8_ 
_xD83D__xDDA4__xD83D__xDC6F_ 
_xD83D__xDC69_ 
_xD83C__xDF33_</t>
  </si>
  <si>
    <t>Yatim Piatu sejak 6 tahun. Sejak muda, berjuang utk keadilan &amp; kemakmuran rakyat, didalam maupun luar sistim. Pro-Growth, Pro-Job &amp; Pro-Poor.</t>
  </si>
  <si>
    <t>Bangkit Maju Indonesia - Dukung Jalan Perubahan Menuju Indonesia yg Berdaulat, Mandiri &amp; Berkepribadian</t>
  </si>
  <si>
    <t>hobi ngeledek KECEBONG_xD83E__xDD1C__xD83D__xDC38__xD83E__xDD1B_</t>
  </si>
  <si>
    <t>Revolusi Akhlaq</t>
  </si>
  <si>
    <t># Stone Crusher Machinery Fabricator 
# Chemical &amp; Mineral Manufacturer
# Business &amp; Politic</t>
  </si>
  <si>
    <t>There's still plenty good people in Indonesia
Demo bawa2 Tuhan=bangsat.
Dulu sy Jkw, skrg Prabowo dong..
Asu,gue bkn buzzerp apalagi kadrun!!</t>
  </si>
  <si>
    <t>Guru Besar Hukum Tata Negara | Senior Partner Integrity Law Firm | Registered Lawyer di  Indonesia dan Australia</t>
  </si>
  <si>
    <t>OPOSISI BERSATU LAWAN OLIGARKI</t>
  </si>
  <si>
    <t>Alhamdulillah - Bismillah ..</t>
  </si>
  <si>
    <t>_xD83C__xDF34__xD83C__xDF34__xD83C__xDF34_INDONESIA TANAH TUMPAH DARAHKU _xD83C__xDDEE__xD83C__xDDE9__xD83C__xDDEE__xD83C__xDDE9__xD83C__xDDEE__xD83C__xDDE9_</t>
  </si>
  <si>
    <t>perubahan itu apabila kau bergeser dari keburukan..</t>
  </si>
  <si>
    <t>Akun resmi https://t.co/v4FxOxsw5z. Kami menyajikan berita, analisis, serta navigasi bisnis dan investasi tepercaya.</t>
  </si>
  <si>
    <t>Daily News Indonesia adalah Platform Media Berita Convergence terkini yang menyajikan News, Ekonomi, Politik, Lifestyle, Otomotif, Tekno dan Travel. #dniupdate</t>
  </si>
  <si>
    <t>Official Twitter Feed by Public Relations Office of Universitas Negeri Jakarta | Delivering News, Events and Updates. | _xD83D__xDCDE_(+6221) 4898486 | ✉️humas@unj.ac.id</t>
  </si>
  <si>
    <t>Secara Konstitusional Rakyat trtakdir sbg skmpln org Berdaulat yg merana dlm kebigungan Hukum&amp;Demokrasi,mnjd alat Penguasa&amp;Korporasi dlm mncapai tujuannya sndri</t>
  </si>
  <si>
    <t>Ingin masuk dalam sabda Rasulullah SAW: Sebaik-baik kalian adalah orang yg paling banyak memberi manfaat bagi orang lain</t>
  </si>
  <si>
    <t>Anggota DPR 2019 - 2024 | Manusia seutuhnya, ayah, suami | Member of Parliament | Tifatul Sembiring on Twitter.</t>
  </si>
  <si>
    <t>Pengamat Kebijakan Publik</t>
  </si>
  <si>
    <t>Akun Twitter Resmi Mahkamah Konstitusi Republik Indonesia Dikelola oleh Biro Humas dan Protokol | Informasi Seputar Sidang, Nonsidang, dan Putusan.</t>
  </si>
  <si>
    <t>Official Account of the Prosperous Justice Party at Indonesian Parliament | Pembela Rakyat di Parlemen | email: humas@fraksi.pks.id | Telp. 021-5723620</t>
  </si>
  <si>
    <t>Wakil Ketua MPR RI 2019-2024 | Anggota FPKS DPR RI Dapil DKI Jakarta II | Wakil Ketua Majelis Syura PKS 2015-2025 | Berkontribusi &amp; bermanfaat bagi sesama</t>
  </si>
  <si>
    <t>Official account of Indonesia’s Prosperous Justice Party. E: humas@pks.id Tel: 021 7884 2116</t>
  </si>
  <si>
    <t>PKS Member of Parliament | UMB Lecturer | The best people are those who are the most beneficial to others |  ❤ NKRI _xD83C__xDDEE__xD83C__xDDE9_ | #KamiOposisi</t>
  </si>
  <si>
    <t>Pengagum Bung Hatta &amp; Gus Dur | Liverpool, AS Roma, Barcelona, PSG, Dortmund.
-sudah menikah-</t>
  </si>
  <si>
    <t>tukang nyari susu sapu dan daging kambing</t>
  </si>
  <si>
    <t>Ketua DPR RI Periode 2019 - 2024
Ojo Pedhot Oyot (Jangan Putus Akar)</t>
  </si>
  <si>
    <t>Setiap yang hidup harus siap berjuang. Setiap perjuangan itu butuh pengorbanan, dan setiap pengorbanan besar pahalanya.</t>
  </si>
  <si>
    <t>Menteri Pertahanan Republik Indonesia.</t>
  </si>
  <si>
    <t>Israel is a TERRORIST State. Period.</t>
  </si>
  <si>
    <t>_xD83C__xDF49_ Akun resmi Anies Baswedan. Dikelola oleh tim, kicauan pribadi ditandai - ABW.</t>
  </si>
  <si>
    <t>Pemimpi yang pernah jadi pemimpin. Broadcaster of Daily Happiness.</t>
  </si>
  <si>
    <t>Lurus</t>
  </si>
  <si>
    <t>Photography | Bookslover #ISLAM Rahmatan Lil'Aalamiin,
DKI Jakarta</t>
  </si>
  <si>
    <t>Anak kolong</t>
  </si>
  <si>
    <t>Menguak Fakta</t>
  </si>
  <si>
    <t>Siapapun yang menerima gaji dan fasilitas dari pajak rakyat maka wajib dikritik bila perlu kita caci maki sebab mereka itu hanyalah para pembantu rakyat.</t>
  </si>
  <si>
    <t>Aku adalah pecinta kedamaian</t>
  </si>
  <si>
    <t>Aku hanya ingin menjadi diriku sendiri. Mensyukuri segala talenta yang Tuhan berikan. Aku pemburu sebuah makna.</t>
  </si>
  <si>
    <t>Bad Leader, hanya petani, sesekali pengen nge twit. Biar kayak rangorang, idealis</t>
  </si>
  <si>
    <t>Akun resmi Partai Demokrat | Harapan Rakyat Perjuangan Demokrat</t>
  </si>
  <si>
    <t>The calmer you are, the more heated they get</t>
  </si>
  <si>
    <t>Boleh kritik dan memaki..
jangan pornografi.
Olahraga Politik &amp; Pemerintahan Sastra &amp; Buku Keluarga Idul Fitri
#GakFollowPorno</t>
  </si>
  <si>
    <t>NKRI HARGA MATI</t>
  </si>
  <si>
    <t>negara khilafah terlarang</t>
  </si>
  <si>
    <t>penampilan rapih</t>
  </si>
  <si>
    <t>Jadikan Ibadah Pada ALLAH SWT dan Sesama Kaum  Muslim itu Sebagai KEBUTUHAN, Bukan Sekedar KEWAJIBAN. _xD83D__xDE4F_</t>
  </si>
  <si>
    <t>Demokratis membela kepentingan rakyat</t>
  </si>
  <si>
    <t>Hidup hanya sekali semoga berkah &amp; bermanfaat _xD83D__xDE0B_</t>
  </si>
  <si>
    <t>Obstetric and gynecologist
Konsultan Obstetri dan Ginekologi Sosial</t>
  </si>
  <si>
    <t>Suara Golkar, Suara Rakyat.</t>
  </si>
  <si>
    <t>Kalau Bukan Kita, Siapa Lagi? Kalau Bukan Sekarang, Kapan Lagi? Ikuti terus perjuangan Partai Gerakan Indonesia Raya dalam membangun Indonesia yang Berdikari.</t>
  </si>
  <si>
    <t>Jubir Rakyat - MP @DPR_RI ▪ Vice President @GOPAC_ENG ▪ @Gerindra ▪Ketum @HKTI ▪Founder @FadliZonLibrary ▪Ketum SNKI ▪Ketum @IKMDpp▪ Ketum HSBI</t>
  </si>
  <si>
    <t>Buy and Sell Fine Gold | Business Inquiries: DM</t>
  </si>
  <si>
    <t>Wakil Ketua MPR RI - Senator DPD RI - Dewan Pembina Tali Foundation - Politik untuk Kemanusiaan</t>
  </si>
  <si>
    <t>Ketua Umum DPP KNPI 2022 - 2025  Ketua Umum DPP KNPI 2018-2021- ini akun asli saya #energyofharmony #knpiuntukrakyat #knpi #harispertama</t>
  </si>
  <si>
    <t>Saya Berdiri di Kaki Sendiri Untuk Pasangan AMIN.. Tapi saya selalu ada untuk Seluruh Simpatisan &amp; Relawan AMIN...</t>
  </si>
  <si>
    <t>Dewan Pengurus Pusat Komite Nasional Pemuda Indonesia Periode 2022 - 2025. Akun Resmi dikelola oleh Media Centre Bidang Komunikasi dan Informatika DPP KNPI</t>
  </si>
  <si>
    <t>Akun Kesekian dari Bang Hans. 
#KedaulatanDitanganRakyat, 
#LikeBukanBerartiSetuju, 
#JayalahIndonesiaku, 
#LestariAlamku...</t>
  </si>
  <si>
    <t>Wasekjend @PDemokrat • Lawyer • “Marnipi satimbo-timbona, alai ulahon na jonok sa denggan2 na” • Kata Ibuku: “jika kau masih berpolitik setialah ikut pak SBY”</t>
  </si>
  <si>
    <t>Bukan Siapa-Siapa | #RevolusiNalar | Ketika Hidup Tanpa Harus Jadi Penjilat | Lereng Gunung Sepi, Berteman Rokok &amp; Secangkir Kopi | Retweet Tidak Berarti Setuju</t>
  </si>
  <si>
    <t>Menteri BUMN I Ketum PSSI I Anggota Komite Olimpiade Internasional (IOC) I Anggota Central Board Federasi Bola Basket Internasional (FIBA)</t>
  </si>
  <si>
    <t>_xD83D__xDC99_Twitter Resmi DPP Partai Amanat Nasional
_xD83D__xDC99_Bersama PAN Wujudkan HaraPAN                   
_xD83D__xDC99_Kontak: twitter@pan.or.id #AmanatNasional</t>
  </si>
  <si>
    <t>Menteri Perdagangan RI @kemendag | Ketua Umum Partai Amanat Nasional (PAN) @Official_PAN</t>
  </si>
  <si>
    <t>Kader Muda PAN @official_PAN</t>
  </si>
  <si>
    <t>Akun Twitter Resmi Dewan Perwakilan Daerah Republik Indonesia (DPD RI) | Dikelola oleh Biro Protokol, Humas, dan Media Follow @DPDRI IG: @dpdri</t>
  </si>
  <si>
    <t>Deputi Strategi &amp; Kebijakan, Balitbang DPP @PDemokrat | Like or/and Retweet ≠ agree or endorsement | personal tweet</t>
  </si>
  <si>
    <t>Akun resmi Badan Eksekutif Mahasiswa Universitas Indonesia</t>
  </si>
  <si>
    <t>islam itu indah,berfikir akal sehat</t>
  </si>
  <si>
    <t>Official Twitter account of https://t.co/9zRoRiNd7U, MNC Media Group.</t>
  </si>
  <si>
    <t>_xD83D__xDC8B_ Always Pawang kocheng _xD83D__xDC08_ _xD83E__xDD70_ Semua akun bebas follow. 
‼️_xD83D__xDC08_‍⬛ ‼️</t>
  </si>
  <si>
    <t>Konsekuensi masuk dalam dunia akademis itu harus mempertahankan kecerdasan nya</t>
  </si>
  <si>
    <t>Akun twitter resmi Kapolri Jenderal Polisi Drs. Listyo Sigit Prabowo, https://t.co/1wLj5HzwBZ.</t>
  </si>
  <si>
    <t>_xD83C__xDF39_Pengagum Kejujuran  …Ilusi Membutakan diri syukuri ,jalani dengan Ikhlas Tadir ILLAHI ROBBI _xD83C__xDF39_Gak follow _xD83D__xDD25_Cebi &amp; Porn ,Syiah,Pencinta Lobang T*i_xD83D__xDD25_</t>
  </si>
  <si>
    <t>Ikhlas Tanpa Batas.</t>
  </si>
  <si>
    <t>WhoWillSaveYourSoul....?</t>
  </si>
  <si>
    <t>‏‏‏‏‏‏‏‏‏لا إله إلا الله محمد رسول الله 
_xD83C__xDDEE__xD83C__xDDE9_ _xD83C__xDDF5__xD83C__xDDF8_Shalahuddin Al Ayyubi
#FreePalestine</t>
  </si>
  <si>
    <t>Jika Mimpimu Terlihat tidak mungkin ,Terdapat pasangan yg salah dalam hidupmu _xD83D__xDD25__xD83D__xDC38__xD83D__xDD28__xD83D__xDCA5_PKI_xD83D__xDD25_LGBT_xD83D__xDCA5_Pembenci Ulama_xD83D__xDD25_SYIAH</t>
  </si>
  <si>
    <t>alfaqir</t>
  </si>
  <si>
    <t>di balik kesuksesan Seorang wanita terdapat dirinya sendiri  _xD83D__xDD25__xD83D__xDC38__xD83D__xDCA5_PKI_xD83D__xDCA5_SyiAh_xD83D__xDCA5_Pembencu Ulama_xD83D__xDCA5_LGBT_xD83D__xDCA5__xD83D__xDCA5__xD83D__xDD28_</t>
  </si>
  <si>
    <t>BISMILLAHIRRAHMANIRRAHIM
LAHAULA QUWATTA ILLAH BILLAH
KUN FAYAKUN
kaum sebelah _xD83D__xDEAB_ folow akun ini</t>
  </si>
  <si>
    <t>Consultant, independent.constructive</t>
  </si>
  <si>
    <t>Buncit</t>
  </si>
  <si>
    <t>Bekerja asyik untuk ibadah mencari Ridho ALLAH.</t>
  </si>
  <si>
    <t>Perbaiki ibadah mu insyaa Allah, Allah akan memperbaiki hidupmu.</t>
  </si>
  <si>
    <t>Sy suka dgn yg gk sombong
-Ulama Pewaris Nabi-
#GakFollowPorno, 
Ceby, PL, Penghina Ulama, 
gausah follow ya?</t>
  </si>
  <si>
    <t>Perbanyak IPTEK namun jangan lupa dgn IMTAQ</t>
  </si>
  <si>
    <t>bismillahirrahmanirrahim</t>
  </si>
  <si>
    <t>Find ur self please  No dm</t>
  </si>
  <si>
    <t>_xD83C__xDD84__xD83C__xDD82__xD83C__xDD70_ Urang Sunda Asli
_xD83D__xDEAB_Porno _xD83D__xDEAB_Bipang _xD83D__xDEAB_pro-Zionist _xD83D__xDEAB_pro-Dajjal</t>
  </si>
  <si>
    <t>ibe❗_xD83D__xDD25_⛔ #GakFollowPorno &amp;followerny,ceceb,Lib,Syi'i,bgsd bgsa, koruptor aka maling, &amp;buzzerr nya 
#YNWA</t>
  </si>
  <si>
    <t>oposisi tangan right &amp; untuk klen yg kiri left aja_xD83D__xDE4F_
#gakfollowporn</t>
  </si>
  <si>
    <t>tanaman subur petani bersyukur</t>
  </si>
  <si>
    <t>Rak pekok rak keduman..
Rak nyangkem rak nguntal..
Rak ngapusi rak urip..
Jaman wuedannn  ‼</t>
  </si>
  <si>
    <t>#GakFollowPorno
#GakFollowCebong
Road to heaven</t>
  </si>
  <si>
    <t>_xD835__xDC7A__xD835__xDC90__xD835__xDC8D__xD835__xDC8A__xD835__xDC85__xD835__xDC82__xD835__xDC93__xD835__xDC8A__xD835__xDC95__xD835__xDC82__xD835__xDC94_ _xD835__xDC79__xD835__xDC82__xD835__xDC8C__xD835__xDC9A__xD835__xDC82__xD835__xDC95_ _xD835__xDC69__xD835__xDC86__xD835__xDC93__xD835__xDC94__xD835__xDC82__xD835__xDC95__xD835__xDC96_ _xD835__xDC83__xD835__xDC82__xD835__xDC8F__xD835__xDC88__xD835__xDC8C__xD835__xDC8A__xD835__xDC95_ _xD835__xDC8E__xD835__xDC86__xD835__xDC8D__xD835__xDC82__xD835__xDC98__xD835__xDC82__xD835__xDC8F_ _xD835__xDC79__xD835__xDC86__xD835__xDC9B__xD835__xDC8A__xD835__xDC8E_ _xD835__xDC77__xD835__xDC86__xD835__xDC8F__xD835__xDC8A__xD835__xDC8F__xD835__xDC85__xD835__xDC82__xD835__xDC94_.
_xD83D__xDEAB_ Porn &amp; LGBT _xD83D__xDEAB_ PKI &amp; Cebi autoblock</t>
  </si>
  <si>
    <t>tukang retuit _xD83D__xDE0A_</t>
  </si>
  <si>
    <t>INGAT
yg kau benci tak kan bisa menghancurkan mu 
INGAT
yang paling bisa menghancurkan mu ialah ia yg kau cintai #gakpollowporno#teuresepbokeh#lainpornolover</t>
  </si>
  <si>
    <t>⛔ Cebi
⛔ Bipang
⛔ LGBT
⛔ Penista agama
      #GakFollowPorno</t>
  </si>
  <si>
    <t>Hanya manusia biasa,dan hanya ingin biasa2 aja</t>
  </si>
  <si>
    <t>Subhanallah walhamdulillah walailahailallah wallahuakbar walahawlawalaquwwata illabillahil'aliyyilladzim</t>
  </si>
  <si>
    <t>#GakFollowPorno
#GakFollowCebong</t>
  </si>
  <si>
    <t>akun yg ke Tiga</t>
  </si>
  <si>
    <t>No #Porn/LGBT/PenistaAgama/Ulama</t>
  </si>
  <si>
    <t>Berjuang demi kebaikan negeri yang diridhai Allah SWT..
Lebih baik jadi kepala ayam dari pada jadi buntut naga..</t>
  </si>
  <si>
    <t>*Aktivis pergerakan 77-78
*Sekjen FKP2B
*Dewan Pertimbangan ASEPHI JABAR
*Ketua Pengawas Komunitas BBM
*Dewan Pembina IKA ITT-STTT
*Dewan Pengawas IKATSI</t>
  </si>
  <si>
    <t>like and subscribe.</t>
  </si>
  <si>
    <t>high speed,</t>
  </si>
  <si>
    <t>Akun baru,#GaFollowForno_BlokirBuzzerRp_AntiLondoIreng</t>
  </si>
  <si>
    <t>Akun cermin untuk @lanyallamm1 ||  Untuk interaksi, mencerahkan #lanyalla #spiritlanyalla 
Bukan Akun Official !!
{ Tim 7} dikelola beberapa admin</t>
  </si>
  <si>
    <t>kebaikan tidak dilatih,  keburukan jadi terlatih</t>
  </si>
  <si>
    <t>together is easy,to get her is hard</t>
  </si>
  <si>
    <t>rakyat kecik yang sedang memahami orang - orang yang lagi NGETOP &amp; menonton ORANG TOP yang lagi lucu-lucunya</t>
  </si>
  <si>
    <t>Akun Resmi Partai Solidaritas Indonesia | Contact: +62213922213</t>
  </si>
  <si>
    <t>akun lama tenggelam sebab olah gerak terbatas dan terkungkung oleh saratnya ⚓</t>
  </si>
  <si>
    <t>baldatun toyyibatun warobbun ghofur</t>
  </si>
  <si>
    <t>Berfikirlah Dalam Kehidupan, Jangan Memikirkan Hidup
#GakFollowPorno
#TolakLGBT</t>
  </si>
  <si>
    <t>~ Lively Life
❤
D'Mohass 
Azura
Zaqea
Ahza
Azeelea
Azara</t>
  </si>
  <si>
    <t>Hidup di Negeri dongeng,,</t>
  </si>
  <si>
    <t>OPOSISI ITU.....SAYA</t>
  </si>
  <si>
    <t>|❤Indonesia|_xD83D__xDEAB_Porn|_xD83D__xDEAB_DM|</t>
  </si>
  <si>
    <t>Project of JUBI NEWS OUTLET
PT. Media Jubi Papua bertanggungjawab atas halaman ini</t>
  </si>
  <si>
    <t>Al alam</t>
  </si>
  <si>
    <t>— 7820 for my precious gem #TREASURE</t>
  </si>
  <si>
    <t>Base menfess about anything • use trigger “_xD83D__xDC99_ / _xD83D__xDCAD_” • Subbase : @convomfs • Partnership : @convobusiness.</t>
  </si>
  <si>
    <t>#Bismillah
#PrayForPalestine 
#Shollualannaby
#GakFollowPorno #KetahuanLangsungBlocked
#gakfbakunPL</t>
  </si>
  <si>
    <t>setitik kesombongan akan menutupi segunung kebenaran</t>
  </si>
  <si>
    <t>24434 _xD83D__xDD11_ Hidup</t>
  </si>
  <si>
    <t>Sempurnakan Niatmu dan Ikhtiarmu maka setelahnya jadi urusan Alloh</t>
  </si>
  <si>
    <t>I'm Nobody -GodKiller
Manusia Merdeka 100% Jauh dari dogma dogma sesat agama</t>
  </si>
  <si>
    <t>Maia Politician | 
PENYAMBUNG LIDAH NETIZEN | Pendiri NPR (Netizen Perwakilan Rakyat)
#2024AyoWaras |
#Indonesianies | #Menuju234567</t>
  </si>
  <si>
    <t>Official Account of Multimedia, Telematics &amp; Public Health Expert
DPR-RI K-1 2009-2019, 11th RI Youth &amp; Sport Minister 2013-2014.
(Substitute for @KRMTRoySuryo)</t>
  </si>
  <si>
    <t>Just wanna be a great person</t>
  </si>
  <si>
    <t>bukan siapa-siapa.</t>
  </si>
  <si>
    <t>Simple Woman Complicated Heart with Beautiful Mind | No DM please _xD83D__xDE4F__xD83C__xDFFC_</t>
  </si>
  <si>
    <t>_xD83D__xDC3E_
Cat lovers _xD83D__xDC08_ S3 perkochengan.</t>
  </si>
  <si>
    <t>Suaraku  suaramu menyatu, jadilah kekuatan .
Gunakan jarimu sebagai kekuatan ,, ajang ekspresi diri.
#P0#twetrandom</t>
  </si>
  <si>
    <t>_xD83D__xDEAB_Porno_xD83D__xDD1E_ _xD83D__xDEAB_Cebong _xD83D__xDEAB_Bipang _xD83D__xDEAB_Penghina Ulama
NO DM please.....</t>
  </si>
  <si>
    <t>OPOSAN</t>
  </si>
  <si>
    <t>#Duduak Marajuik Ranjau, tagak maninjau jarak
#KlanGuci
#TidakFollowPorno
⛔NO DM</t>
  </si>
  <si>
    <t>UUD 1945 pasal 28E ayat (3), “Setiap orang berhak atas kebebasan berserikat, berkumpul &amp; mengeluarkan pendapat. 
Anti PKI, JIL, Syiah dan Agama Yang Ngga jelas.</t>
  </si>
  <si>
    <t>| Free Human | Jangan percaya BuzzeRp karena dia diciptakan untuk menyesatkan nalar |</t>
  </si>
  <si>
    <t>Gelorakan semangat Indonesia
menuju kekuatan 5 besar dunia! @anismatta @Fahrihamzah #Gelora7 #ArahBaruIndonesia #Indonesia5besardunia #partaigelora 
_xD83D__xDC47_</t>
  </si>
  <si>
    <t>Indonesian Politician, 1998 Member of The Assembly (MPR), 2004-2014 The House (DPR), 2014-2019 Speaker of The House_xD83D__xDCA1_akun dipegang sendiri untuk silaturahim_xD83D__xDCA1_.</t>
  </si>
  <si>
    <t>_xD83D__xDC9F_ akoen djatoeh_bangoen !</t>
  </si>
  <si>
    <t>Cinta kebaikan, kebaikan standar quran &amp; sunnah</t>
  </si>
  <si>
    <t>Founder of Susi Air. #SMS only to +62811211365. IG: (@)susipudjiastuti115</t>
  </si>
  <si>
    <t>#BicaraFakta | Follow us for breaking news, current events, and more at https://t.co/aR6kgUM5in | Read our in-depth coverage at @temponewsroom &amp; @korantempo</t>
  </si>
  <si>
    <t>Pemerhati Penerbangan,
Trainer Komunikasi Pemasaran &amp; Manajemen Pelayanan Keluhan,
Konsultan Hubungan Keparlemenan,
Wong Semarang</t>
  </si>
  <si>
    <t>Tetap menjaga kewarasan.</t>
  </si>
  <si>
    <t>utan kayu</t>
  </si>
  <si>
    <t>Hanya untuk orang (yg bepikir) dewasa.</t>
  </si>
  <si>
    <t>Follow Ig : nenkmonica1985 _xD83D__xDE4F_</t>
  </si>
  <si>
    <t>keep fight!!</t>
  </si>
  <si>
    <t>#TidakMutualanDenganAkunPorno</t>
  </si>
  <si>
    <t>#SavePalestine</t>
  </si>
  <si>
    <t>Bersandar hanya kpd Allah Ta'ala,
Pakai akal sehat biar kepala ada isinya,
Satire lebih menohok✌_xD83E__xDD29_</t>
  </si>
  <si>
    <t>engadilan dimana2,...tapi Keadilan susah</t>
  </si>
  <si>
    <t>inna sholati wanusuki wamahyaya wamamati lillahi rabbil’alamin. ( Sesungguhnya sholatku, ibadahku,hidupku dan matiku hanya untuk Allah, Tuhan semesta alam)</t>
  </si>
  <si>
    <t>Find me in your memory &amp; follow your heart #FreePalestine
no dm</t>
  </si>
  <si>
    <t>• TOLERANSI itu HORMATI PERBEDAAN •
#UsutTuntasTragediKM50  
#JadiRakyatKokPasrah 
#MelawanKezaliman   
#TegakkanKeadilan</t>
  </si>
  <si>
    <t>Life is Simple.. Sederhanakan Pemikiran.. Sedekah Walau Disaat Sempit.. Follow BuzerRp UNFOLL.. _xD83D__xDC99_ #FreePalestine #OpChildSafety 《 no grup &amp; no follow porno 》</t>
  </si>
  <si>
    <t>Freiheit der Lüge, Korruption und Heuchelei, Provokateur für die Wahrheit</t>
  </si>
  <si>
    <t>Simple</t>
  </si>
  <si>
    <t>biasa aja. Ganas disosmed apalagi anonim kayak gw adl pengecut _xD83D__xDE1C_</t>
  </si>
  <si>
    <t>no porn✌</t>
  </si>
  <si>
    <t>Wakil Ketua Umum DPP PAN/ Lee Ritenour, Deep Purple, The Beatles, dankdut never die.▪️</t>
  </si>
  <si>
    <t>Lagi iseng kerja di bidang riset. Suka makan, nonton series, dan ngegame. Fans berat Manchester United.</t>
  </si>
  <si>
    <t>Penulis</t>
  </si>
  <si>
    <t>Wong Ngarit tetep Ngarit #Glangsing #Arit  #BudayaNusantara #BudayaBukanlahDosa #NusantaraBukanKhilafah _xD83C__xDDF2__xD83C__xDDE8__xD83C__xDDF2__xD83C__xDDE8__xD83C__xDDF2__xD83C__xDDE8_
 _xD83D__xDCAF_%</t>
  </si>
  <si>
    <t>presidentsby.com</t>
  </si>
  <si>
    <t>rizalramlipedia.org/Rizal-Ramli-Fa…</t>
  </si>
  <si>
    <t>linktr.ee/bahlillahadalia</t>
  </si>
  <si>
    <t>kompas.tv/live</t>
  </si>
  <si>
    <t>youtube.com/c/PungPurwanto</t>
  </si>
  <si>
    <t>parahyangan-post.com</t>
  </si>
  <si>
    <t>youtube.com/channel/UCI7Lx…</t>
  </si>
  <si>
    <t>simpellink.com/fahiraidris.se…</t>
  </si>
  <si>
    <t>twitter.com/yeni_ekawati</t>
  </si>
  <si>
    <t>sayangpapahmamah.com</t>
  </si>
  <si>
    <t>sontoloyo.net</t>
  </si>
  <si>
    <t>change.org/impact</t>
  </si>
  <si>
    <t>refrizal.com</t>
  </si>
  <si>
    <t>linktr.ee/matanajwaa</t>
  </si>
  <si>
    <t>multiprimaroof.id</t>
  </si>
  <si>
    <t>youtube.com/channel/UCee2G…</t>
  </si>
  <si>
    <t>tribratanews.polri.go.id</t>
  </si>
  <si>
    <t>iyanofficial.com</t>
  </si>
  <si>
    <t>ganjarpranowo.com</t>
  </si>
  <si>
    <t>youtube.com/channel/UCwstk…</t>
  </si>
  <si>
    <t>linktr.ee/rizalramli.off…</t>
  </si>
  <si>
    <t>lynk.id/dennyindrayana</t>
  </si>
  <si>
    <t>youtube.com/c/IndonesiaLaw…</t>
  </si>
  <si>
    <t>bisnis.com</t>
  </si>
  <si>
    <t>unj.ac.id</t>
  </si>
  <si>
    <t>facebook.com/tifatul.sembir…</t>
  </si>
  <si>
    <t>linktr.ee/mahkamahkonsti…</t>
  </si>
  <si>
    <t>fraksi.pks.id</t>
  </si>
  <si>
    <t>tiktok.com/@hnurwahid_</t>
  </si>
  <si>
    <t>medsos.pks.id</t>
  </si>
  <si>
    <t>instagram.com/mamandomara</t>
  </si>
  <si>
    <t>FB.com/PrabowoSubianto</t>
  </si>
  <si>
    <t>linktr.ee/anies.baswedan</t>
  </si>
  <si>
    <t>islamtoday.id</t>
  </si>
  <si>
    <t>m.youtube.com/channel/UCS0hJ…</t>
  </si>
  <si>
    <t>twitter.com/PartaiGolkar</t>
  </si>
  <si>
    <t>Gerindra.id</t>
  </si>
  <si>
    <t>m.youtube.com/c/fadlizonoffi…</t>
  </si>
  <si>
    <t>instagram.com/enggalpm</t>
  </si>
  <si>
    <t>instagram.com/tamsilinrung</t>
  </si>
  <si>
    <t>knpi.or.id</t>
  </si>
  <si>
    <t>instagram.com/jansensitindao…</t>
  </si>
  <si>
    <t>linktr.ee/erickthohir</t>
  </si>
  <si>
    <t>pan.or.id</t>
  </si>
  <si>
    <t>dpd.go.id</t>
  </si>
  <si>
    <t>demokrat.or.id</t>
  </si>
  <si>
    <t>bem.ui.ac.id</t>
  </si>
  <si>
    <t>linktr.ee/ListyoSigitpra…</t>
  </si>
  <si>
    <t>shadowban.eu</t>
  </si>
  <si>
    <t>gmail.com</t>
  </si>
  <si>
    <t>minepi.com/berkahhanif</t>
  </si>
  <si>
    <t>dayvet133.blogspot.com</t>
  </si>
  <si>
    <t>youtube.com</t>
  </si>
  <si>
    <t>instagram.com/lanyalla_acade…</t>
  </si>
  <si>
    <t>s.id/psi</t>
  </si>
  <si>
    <t>jubi.id</t>
  </si>
  <si>
    <t>aturanmenfess.carrd.co</t>
  </si>
  <si>
    <t>twitter.com/KRMTRoySuryo2</t>
  </si>
  <si>
    <t>blogindonesianabanget.blogspot.com</t>
  </si>
  <si>
    <t>linktr.ee/partaigeloraid/</t>
  </si>
  <si>
    <t>fahrihamzah.com</t>
  </si>
  <si>
    <t>bit.ly/Amin1Putaran</t>
  </si>
  <si>
    <t>youtube.com/watch?v=ZymvoS…</t>
  </si>
  <si>
    <t>alvinlie.com</t>
  </si>
  <si>
    <t>youtu.be/eQWtCen0pyQ</t>
  </si>
  <si>
    <t>vivayogamauladi.com</t>
  </si>
  <si>
    <t>https://t.co/1r2RSJN5mh https://t.co/7pIJrY4CnS https://t.co/iHmi6jhGqS</t>
  </si>
  <si>
    <t>https://t.co/HmGpONJz9c https://t.co/5TVZnQYwDM</t>
  </si>
  <si>
    <t>https://t.co/q68VlRAJh9 https://t.co/j61wtFZ95J</t>
  </si>
  <si>
    <t>http://fb.com/kompastv http://instagram.com/kompastv http://youtube.com/kompastv</t>
  </si>
  <si>
    <t>http://cnn.id/iphone http://cnn.id/android</t>
  </si>
  <si>
    <t>https://www.youtube.com/channel/UCocGiBiu88in5Np-ccKt_Yw https://www.youtube.com/channel/UCpPfnFAnRbsI</t>
  </si>
  <si>
    <t>lanyallacenter.id/kita-benamkan-…</t>
  </si>
  <si>
    <t>fb.com/kompastv instagram.com/kompastv youtube.com/kompastv</t>
  </si>
  <si>
    <t>cnn.id/iphone cnn.id/android</t>
  </si>
  <si>
    <t>DEMOCRAZY.ID</t>
  </si>
  <si>
    <t>youtube.com/channel/UCocGi… youtube.com/channel/UCpPfn…</t>
  </si>
  <si>
    <t>wa.me/6281319450880</t>
  </si>
  <si>
    <t>Change.org</t>
  </si>
  <si>
    <t>youtu.be/Hq0yjL0fMq4</t>
  </si>
  <si>
    <t>Sindonews.com</t>
  </si>
  <si>
    <t>M.Si</t>
  </si>
  <si>
    <t>sensitive_media</t>
  </si>
  <si>
    <t>none</t>
  </si>
  <si>
    <t>regular</t>
  </si>
  <si>
    <t>Open Twitter Page for This Person</t>
  </si>
  <si>
    <t>Directed</t>
  </si>
  <si>
    <t>Top URLs in Tweet in Entire Graph</t>
  </si>
  <si>
    <t>https://nasional.sindonews.com/read/621377/12/daftarkan-gugatan-presidential-threshold-ke-mk-refly-harun-dan-ferry-juliantono-salam-nol-persen-1638875579</t>
  </si>
  <si>
    <t>https://travel.detik.com/travel-news/d-5934657/turis-perdana-ke-bali-dibiayai-kemenparekraf-garuda-dan-hotel</t>
  </si>
  <si>
    <t>https://bit.ly/3rJk6To</t>
  </si>
  <si>
    <t>http://dlvr.it/ScsHSc</t>
  </si>
  <si>
    <t>https://youtu.be/PA1YYNZ3g70</t>
  </si>
  <si>
    <t>https://www.dailynewsindonesia.com/news/daftarkan-gugatan-pt-ke-mk-refly-harun-salam-nol-persen/</t>
  </si>
  <si>
    <t>https://politik.rmol.id/read/2022/01/11/518874/Bersama-Refly-Harun-dan-Denny-Indrayana,-Gugatan-Presidential-Threshold-Menjalar-ke-AS,-Jerman-hingga-Qatar-</t>
  </si>
  <si>
    <t>https://twb.nz/presidentialthreshold0persen</t>
  </si>
  <si>
    <t>https://politik.rmol.id/read/2021/12/12/515055/alasan-firli-agar-preshold-0-persen-banyak-kepala-daerah-keluhkan-biaya-politik-dan-akhirnya-korupsi</t>
  </si>
  <si>
    <t>https://news.detik.com/berita/d-5901725/mk-buka-kemungkinan-ubah-presidential-threshold-jadi-0-persen</t>
  </si>
  <si>
    <t>Entire Graph Count</t>
  </si>
  <si>
    <t>Top URLs in Tweet</t>
  </si>
  <si>
    <t>Top Domains in Tweet in Entire Graph</t>
  </si>
  <si>
    <t>Top Domains in Tweet</t>
  </si>
  <si>
    <t>Top Hashtags in Tweet in Entire Graph</t>
  </si>
  <si>
    <t>periksaanaklurah</t>
  </si>
  <si>
    <t>peoplepower</t>
  </si>
  <si>
    <t>hapuspt20persen</t>
  </si>
  <si>
    <t>gugatpresidentialthreshold</t>
  </si>
  <si>
    <t>kpubiangkerokkecurangan</t>
  </si>
  <si>
    <t>tolakruu_kuhp</t>
  </si>
  <si>
    <t>jokowimatikandemokrasi</t>
  </si>
  <si>
    <t>referendummakzulkanjokowi</t>
  </si>
  <si>
    <t>Top Hashtags in Tweet</t>
  </si>
  <si>
    <t>Top Words in Tweet in Entire Graph</t>
  </si>
  <si>
    <t>nol</t>
  </si>
  <si>
    <t>persen</t>
  </si>
  <si>
    <t>#salamnolpersen</t>
  </si>
  <si>
    <t>dan</t>
  </si>
  <si>
    <t>yg</t>
  </si>
  <si>
    <t>di</t>
  </si>
  <si>
    <t>ini</t>
  </si>
  <si>
    <t>pt</t>
  </si>
  <si>
    <t>dari</t>
  </si>
  <si>
    <t>Top Words in Tweet</t>
  </si>
  <si>
    <t>Top Word Pairs in Tweet in Entire Graph</t>
  </si>
  <si>
    <t>nol,persen</t>
  </si>
  <si>
    <t>salam,nol</t>
  </si>
  <si>
    <t>presidential,threshold</t>
  </si>
  <si>
    <t>pt,nol</t>
  </si>
  <si>
    <t>nol,dp</t>
  </si>
  <si>
    <t>dp,persen</t>
  </si>
  <si>
    <t>ke,mk</t>
  </si>
  <si>
    <t>refly,harun</t>
  </si>
  <si>
    <t>oce,oke</t>
  </si>
  <si>
    <t>negeri,ini</t>
  </si>
  <si>
    <t>Top Word Pairs in Tweet</t>
  </si>
  <si>
    <t>Top Replied-To in Entire Graph</t>
  </si>
  <si>
    <t>Top Mentioned in Entire Graph</t>
  </si>
  <si>
    <t>tiadayanglain2</t>
  </si>
  <si>
    <t>Top Replied-To in Tweet</t>
  </si>
  <si>
    <t>Top Mentioned in Tweet</t>
  </si>
  <si>
    <t>Top Tweeters in Entire Graph</t>
  </si>
  <si>
    <t>Top Tweeters</t>
  </si>
  <si>
    <t>Top URLs in Tweet by Count</t>
  </si>
  <si>
    <t>https://nasional.tempo.co/read/1612284/survei-charta-politika-ganjar-unggul-telak-715-persen-di-jawa-tengah-puan-nol-koma#.YtH7LVDzC6U.twitter</t>
  </si>
  <si>
    <t>https://news.detik.com/berita/d-5860072/survei-arci-804-masyarakat-jatim-ingin-presidential-threshold-0</t>
  </si>
  <si>
    <t>https://youtu.be/X5TlArCX_Mo</t>
  </si>
  <si>
    <t>https://mediaindonesia.com/politik-dan-hukum/611063/anies-prioritaskan-pengesahan-ruu-perampasan-aset-jika-terpilih-presiden</t>
  </si>
  <si>
    <t>https://arahjaya.com/2019/07/26/rakyat-tidak-setuju-ibukota-negara-pindah-sosiolog-beri-solusi/</t>
  </si>
  <si>
    <t>http://dlvr.it/SdWj9q</t>
  </si>
  <si>
    <t>https://chng.it/XpRxqxpy</t>
  </si>
  <si>
    <t>Top URLs in Tweet by Salience</t>
  </si>
  <si>
    <t>-Gugatan-Presidential-Threshold-Menjalar-ke-AS https://politik.rmol.id/read/2022/01/11/518874/Bersama-Refly-Harun-dan-Denny-Indrayana -Jerman-hingga-Qatar-</t>
  </si>
  <si>
    <t>Top Domains in Tweet by Count</t>
  </si>
  <si>
    <t>Top Domains in Tweet by Salience</t>
  </si>
  <si>
    <t>Top Hashtags in Tweet by Count</t>
  </si>
  <si>
    <t>dprmprmati salamnolpersen</t>
  </si>
  <si>
    <t>murahinkebutuhanpokok</t>
  </si>
  <si>
    <t>salamnolpersen revolusiakhlaq</t>
  </si>
  <si>
    <t>kpubiangkerokkecurangan referendummakzulkanjokowi</t>
  </si>
  <si>
    <t>tolakruu_kuhp jokowimatikandemokrasi</t>
  </si>
  <si>
    <t>hapuspt20persen salamnolpersen</t>
  </si>
  <si>
    <t>salamnolpersen 2024rakyatpunyakuasa savedpd dukungubedilahbadrun lawankkn</t>
  </si>
  <si>
    <t>Top Hashtags in Tweet by Salience</t>
  </si>
  <si>
    <t>salamnolpersen dprmprmati</t>
  </si>
  <si>
    <t>salamnolpersen salamrevolusiakhlak</t>
  </si>
  <si>
    <t>bukanberitabiasa sindonews</t>
  </si>
  <si>
    <t>referendummakzulkanjokowi kpubiangkerokkecurangan</t>
  </si>
  <si>
    <t>2024rakyatpunyakuasa salamnolpersen savedpd lawankkn dukungubedilahbadrun</t>
  </si>
  <si>
    <t>Top Words in Tweet by Count</t>
  </si>
  <si>
    <t>mrk survey anies di akan percaya dgn terlebih jabar yg</t>
  </si>
  <si>
    <t>ada dalam negeri ngerinya yg konssolidasi sam tidak perkembangan melihat</t>
  </si>
  <si>
    <t>sun utang menahan tsb karena agar upaya beli berhenti uang</t>
  </si>
  <si>
    <t>anies tegas aset jika prioritaskan nih terpilih komitmen ruu perampasan</t>
  </si>
  <si>
    <t>jadi ttg tlh ibukota saya negara sdh disahkan ada lahir</t>
  </si>
  <si>
    <t>pcr</t>
  </si>
  <si>
    <t>bung msaid_didu didu kongres dimana nih 0 dukung sedang pt</t>
  </si>
  <si>
    <t>allah dan #salamnolpersen ikhtiar mudahkan tanpa sgl shg oligarki smg</t>
  </si>
  <si>
    <t>keren reflyhz #salamnolpersen</t>
  </si>
  <si>
    <t>di bisa juga indonesia mestinya #salamnolpersen ini</t>
  </si>
  <si>
    <t>keren #salamnolpersen support</t>
  </si>
  <si>
    <t>mafia solusi kita thershold yg ekonomi datang saja tnp akan</t>
  </si>
  <si>
    <t>ada ini #murahinkebutuhanpokok dalam menjelang dipertimbangkan permohonan pendirian sebentar kalau</t>
  </si>
  <si>
    <t>reflyhz #salamnolpersen</t>
  </si>
  <si>
    <t>banyak ikn ruu dan menolak perjuangkan yg tadi dini hari</t>
  </si>
  <si>
    <t>pt partai politik sy 20 myakini utk kira terimakasih seorang</t>
  </si>
  <si>
    <t>bung puanmaharani_ri gk mohmahfudmd huahaha ya ada knp seru khofifahip</t>
  </si>
  <si>
    <t>#salamnolpersen smartizen_ nicho_silalahi papa_loren</t>
  </si>
  <si>
    <t>di #salamrevolusiakhlak isinya iwi18297130 #salamnolpersen mghufro38074283</t>
  </si>
  <si>
    <t>lalu nicho_silalahi tetap wisata #salamnolpersen bang masa listyosigitp semangat saya</t>
  </si>
  <si>
    <t>ditangan itu ada rakyat karena mesti indikasi kekhawatiran #salamnolpersen memang</t>
  </si>
  <si>
    <t>kawinnya ada 20 dibayar mas nikah #salamnolpersen saya terima dan</t>
  </si>
  <si>
    <t>#hapuspt20persen sudah jawab dengan pemimpin #salamnolpersen ini adilkah negara ayo</t>
  </si>
  <si>
    <t>#salamnolpersen reflyhz</t>
  </si>
  <si>
    <t>uni perjuangan tim doa allah kita semoga senator aamiin materil</t>
  </si>
  <si>
    <t>reflyhz juga pak rh #salamnolpersen</t>
  </si>
  <si>
    <t>mahasiswa korban aksi penangkapan nama papua ini tolak polisi berita</t>
  </si>
  <si>
    <t>yg tujuannya dan engkau jujur berfikir janganlah adil ya sempurna</t>
  </si>
  <si>
    <t>makin hidup yg hilangkan lagi lbh pasti pt bacapres nih</t>
  </si>
  <si>
    <t>0 oligarki tersandera 100 intelektual yg menjamin pemimpin elektabilitas #salamnolpersen</t>
  </si>
  <si>
    <t>anies janji b waras ada agenda gak ya e tidak</t>
  </si>
  <si>
    <t>yg mpr kkn bersih penyelenggaraan gelombang barisan aktivis 98 menggugat</t>
  </si>
  <si>
    <t>yg media muadzin apakah sekelas tadinya layak anjing utk sholat</t>
  </si>
  <si>
    <t>ya di 2022 oh omset kita bosradikal semoga __nramadh4n jul3arhma3</t>
  </si>
  <si>
    <t>hasil reflyhz perjuangan membuahkan #salamnolpersen simobawa semoga</t>
  </si>
  <si>
    <t>partaigeloraid lulus #salamnolpersen ke semoga bang itu parlemen betul partai</t>
  </si>
  <si>
    <t>ya kalau tengah sudah usah pencoblosan tarung lagi ada dihormati</t>
  </si>
  <si>
    <t>pancasila</t>
  </si>
  <si>
    <t>2024 #salamakalsehat aja buang2 pemilu yg nolak uang proyek akan</t>
  </si>
  <si>
    <t>rumah ada kepada #temponasional dibayarkan klaim pemerintah triliunan kementerian 19</t>
  </si>
  <si>
    <t>kemenparekraf bali perdana ke turis garuda ternyataaaa dibiayai dan hotel</t>
  </si>
  <si>
    <t>gak mereka apakah itu rapat wakil pt dikebut ruu ikhlas</t>
  </si>
  <si>
    <t>yg mahasiswa turun manis kami ke biar atau tiduran emak</t>
  </si>
  <si>
    <t>dpr mahasiswa kita intelektual karena diam pada kampus terus mengapa</t>
  </si>
  <si>
    <t>Top Words in Tweet by Salience</t>
  </si>
  <si>
    <t>gorong masuk manusia sok dosa yg dan kelaut air hujan</t>
  </si>
  <si>
    <t>smartizen_ nicho_silalahi papa_loren #salamnolpersen</t>
  </si>
  <si>
    <t>#kpubiangkerokkecurangan #referendummakzulkanjokowi s_amaluddin wartegperjuang1 putunmy ikotjo22 baik ainu98281951nur zay34562 allmumtadz</t>
  </si>
  <si>
    <t>#jokowimatikandemokrasi #tolakruu_kuhp negara gambar 2024 tka ekonomi capres padahal mk</t>
  </si>
  <si>
    <t>Top Word Pairs in Tweet by Count</t>
  </si>
  <si>
    <t>boleh,bohong  biasa,bohong  ya,susah  susah,salam  salam,dp  bohong,jangan  dp,nol  jangan,karena  bumnbersatu,halu  karena,udah</t>
  </si>
  <si>
    <t>ini,hasil  5,persen  puan,nol  di,pagi  semangat,dlm  yg,cihuyy  ganjar,unggul  persen,di  hari,yg  jawa,tengah</t>
  </si>
  <si>
    <t>untuk,memperjuangkan  dari,kekuatan  rizal,ramli  persen,dr  suara,untuk  amp,bersih  bandar,cukong  80,4  ketua,dpd  kekuatan,oligarki</t>
  </si>
  <si>
    <t>portasi,dasar  jgn,terlalu  loe,nol  1,mimpi  jadi,ri  dasar,kerja  trans,portasi  tidur,mendeka  banjir,di  persen,air</t>
  </si>
  <si>
    <t>kampuang,da  febridiansyah,dima  katonyo,salah  batusangka,nagari  nol,persen  satu,nagari  tersebut,salam  jokowi,pun  da,ambo  ambo,batusangka</t>
  </si>
  <si>
    <t>percaya,dgn  mrk,akan  anies,jeblok  lagi,mrk  suka,nipu  yg,jelas2  ujungnya,mrk  di,jabar  survey,di  terlebih,yg</t>
  </si>
  <si>
    <t>refly,harun  ke,mk  gugatan,presidential  daftarkan,gugatan  salam,nol  ferry,juliantono  nol,persen  juliantono,salam  harun,dan  threshold,ke</t>
  </si>
  <si>
    <t>2024,gantian  bakalan,tidak  nol,persen  sam,yg  statemen,dari  tidur,nyenyak  melihat,perkembangan  ngerinya,lgi  konssolidasi,posisi  anyar,2024</t>
  </si>
  <si>
    <t>sun,oleh  kelolaan,spt  utang,maka  oleh,imf  beli,sun  bi,berhenti  upaya,menahan  menahan,uang  jht,di  butuh,tambahan</t>
  </si>
  <si>
    <t>dp,persen  nol,dp  salam,nol  masuk,gorong  masuk,ketanah  gorong,gorong  junjunganmu,anis  oce,oke  anis,salam  bukan,masuk</t>
  </si>
  <si>
    <t>baru,pak  anies,prioritaskan  prioritaskan,pengesahan  aset,jika  komitmen,nih  pak,anies  perampasan,aset  tegas,komitmen  pengesahan,ruu  jika,terpilih</t>
  </si>
  <si>
    <t>upload,kembali  bubur,sdh  nasi,sdh  pemindahan,ibukota  rakyat,melalui  disahkan,tlh  ada,persetujuan  ttg,ibu  sdh,jadi  usul,supaya</t>
  </si>
  <si>
    <t>salam,nol  persen,pcr  nol,persen</t>
  </si>
  <si>
    <t>dp,nol  jateng,dapat  warga,jateng  rumah,dp  ganjar,msn  bahagianya,warga  nol,persen  persen,dari  salam,bahagianya  dapat,rumah</t>
  </si>
  <si>
    <t>#periksaanaklurah,salam  #periksaanaklurah,#periksaanaklurah  salam,nol  maju,terus  nol,persen  salamdiaha,#periksaanaklurah  pantang,mundur  persen,maju  terus,pantang</t>
  </si>
  <si>
    <t>#periksaanaklurah,#periksaanaklurah  threshold,#periksaanaklurah  persen,presidential  salam,nol  nol,persen  presidential,threshold</t>
  </si>
  <si>
    <t>nol,persen  salam,nol  persen,bung  dimana,nih  bung,didu  partai,kongres  dukung,pt  msaid_didu,sailabi1  0,salam  pt,0</t>
  </si>
  <si>
    <t>ridhoi,sgl  oligarki,#salamnolpersen  mudahkan,smua  dan,allah  #salamnolpersen,#salamnolpersen  indonesia,kmbali  berjaya,tanpa  fahiraidris,smg  smua,proses  allah,lancarkan</t>
  </si>
  <si>
    <t>siajapul,reflyhz  drevachaniago,siajapul  persen,budok  wapres,bole  budok,wapres  nol,persen  bole,menkes  reflyhz,salam  menkes,oke  salam,nol</t>
  </si>
  <si>
    <t>salam,nol  nol,persen  papa_loren,salam</t>
  </si>
  <si>
    <t>nol,persen  salam,nol  nya,dari  suka,berhutang  msaid_didu,penting  berhutang,dan  persen,ajah  keuangannews_id,salam  jawab,yg  dari,kecil</t>
  </si>
  <si>
    <t>salam,nol  nol,persen  jokowi,salam  markonah_003,salam</t>
  </si>
  <si>
    <t>keren,#salamnolpersen  reflyhz,keren</t>
  </si>
  <si>
    <t>bisa,juga  indonesia,ini  mestinya,bisa  ini,mestinya  juga,#salamnolpersen  di,indonesia</t>
  </si>
  <si>
    <t>tandatangani,petisi  threshold,nol  konstitusi,republik  indonesia,presidential  0,mahkamah  nol,persen  salam,0  lewat,changeorg_id  persen,tandatangani  republik,indonesia</t>
  </si>
  <si>
    <t>salam,nol  nol,persen  msaid_didu,salam</t>
  </si>
  <si>
    <t>salam,pancasila  yg,pajaknya  dicina,yg  perusahaan,indonesia  persen,salam  nol,persen  pajaknya,nol  ada,ngak  indonesia,dicina  ngak,perusahaan</t>
  </si>
  <si>
    <t>support,#salamnolpersen  keren,support</t>
  </si>
  <si>
    <t>datang,benar2  dlm,lingkaran  mohmahfudmd,hny  #salamnolpersen,thershold  yg,akan  lingkaran,setan  mngknya,kita  tdk,masuk  setan,mafia  pemimpin,yg</t>
  </si>
  <si>
    <t>nol,persen  salam,nol  mungkin,ada  harus,dipertimbangkan  pendirian,daripada  saja,mungkin  #murahinkebutuhanpokok,kalau  dipertimbangkan,oleh  #murahinkebutuhanpokok,#murahinkebutuhanpokok  ada,alasan</t>
  </si>
  <si>
    <t>pt,nol  putusan,mk  kehabisan,akal  sepertinya,mk  mk,benar2  harun,pt  tangan,dari  kalo,mk  dari,kekuasaan  dgn,putusan</t>
  </si>
  <si>
    <t>salam,nol  nol,persen  nol,nol  kaya,lu  koma,nol  partai,lu  nol,koma  suara,partai  ummat_diy,ummat_kotadepok  ya,om</t>
  </si>
  <si>
    <t>reflyhz,#salamnolpersen</t>
  </si>
  <si>
    <t>bintang,salam  dikabulkan,salam  oposisicerdas,insya  bulan,bintang  allah,ini  nol,persen  ini,dikabulkan  salam,bulan  salam,nol  insya,allah</t>
  </si>
  <si>
    <t>salam,nol  reflyhz,salam  nol,persen  bang,rh  rh,sehat  sehat,selalu  semoga,bang  persen,semoga</t>
  </si>
  <si>
    <t>kalo,mangap  biar,dia  akal,sehat  sembarangan,kalo  dia,orang  gak,sembarangan  ruhutsitompul,mantap  sehat,dan  mangap,bravo  mantap,biar</t>
  </si>
  <si>
    <t>hati,mau  masyarakyat,untuk  salam,kenal  nol,persen  yang,rendah  embel,embel  rendah,hati  yang,layak  hunian,yang  __rismawidiono_,ganjarpranowo</t>
  </si>
  <si>
    <t>salam,nol  nol,persen  di,prcy  jokwi,di  prcy,salam  bima_____,ramlirizal  ramlirizal,jokwi</t>
  </si>
  <si>
    <t>salam,nol  nol,persen  persen,reflyhz  reflyhz,dukung  sonyareksby,salam  maspiyuaja,sonyareksby  bima_____,ramlirizal  ramlirizal,salam  dukung,penuh</t>
  </si>
  <si>
    <t>democrazymedia,bismillah  semoga,niat  mati,para  dilakukan,dengan  niat,untuk  bisa,dilakukan  para,koruptor  profesor,semoga  menghukum,mati  untuk,menghukum</t>
  </si>
  <si>
    <t>puas,dikasih  puas,mandang  puas,dapat  nol,persen  dikasih,sumur  genting,warna  mandang,tugu  ditutup,waring  puas,lihat  warni,salam</t>
  </si>
  <si>
    <t>ahmad,yani  ayo,saudara  persen,ayo  pt,nol  untuk,ahmad  berjuang,untuk  yani,salam  salam,untuk  0,persen  youtubeilc,salam</t>
  </si>
  <si>
    <t>mardigu,wp  baru,yaitu  pak,mardigu  orang,baru  tidak,tersandera  tersandera,oleh  wp,salam  biyar,tidak  oleh,jasa2  orang,lain</t>
  </si>
  <si>
    <t>gugatan,pt  refly,harun  ke,mk  daftarkan,gugatan  salam,nol  nol,persen  pt,ke  mk,refly  harun,salam</t>
  </si>
  <si>
    <t>ruu,ikn  ikn,dikebut  dan,banyak  aspirasi,banyak  akhirnya,diputuskan  menolak,ruu  anggota,fpksdprri  pks,menolak  pd,dini  fpksdprri,tetap</t>
  </si>
  <si>
    <t>partai,politik  pt,20  segelintir,elite  dlm,hal  presiden,hnya  mnjadi,ladang  semata,sy  nol,persen  sy,kira  politik,semata</t>
  </si>
  <si>
    <t>mohmahfudmd,puanmaharani_ri  persen,bung  puanmaharani_ri,huahaha  khofifahip,dan  wapres,bung  huahaha,salam  nol,persen  seru,ini  paling,asyik  mungkin,gk</t>
  </si>
  <si>
    <t>dp,persen  oce,oke  nol,dp  oke,dan  dan,reklamasi  dan,oce  persen,dan  salam,nol  kepusat,lo  reklamasi,munafik</t>
  </si>
  <si>
    <t>nicho_silalahi,#salamnolpersen  smartizen_,#salamnolpersen  papa_loren,#salamnolpersen</t>
  </si>
  <si>
    <t>salam,nol  nol,persen  anunksalsabiel1,salam</t>
  </si>
  <si>
    <t>kades,aja  salam,kalau  jadikan,aja  kalau,pengin  titip,salam  galih_akek2,pdemokrat  nggak,ya  kalau,nggak  nol,persen  dp,rusun</t>
  </si>
  <si>
    <t>salam,nol  nol,persen</t>
  </si>
  <si>
    <t>dari,nol  bagus,lah  gubenur2,sebelumnya  klo,nol  ayanimel,bagus  mines,semua  jauh,dari  lah,klo  nol,persen  persen,ketimbang</t>
  </si>
  <si>
    <t>nol,persen  salam,nol  hapus,salam  harus,di  fahiraidris,salam  jadi,benar  sistem,pt  di,hapus  benar,sistem  geloraco,jadi</t>
  </si>
  <si>
    <t>isinya,#salamrevolusiakhlak  #salamrevolusiakhlak,#salamnolpersen  di,isinya  iwi18297130,mghufro38074283  mghufro38074283,di</t>
  </si>
  <si>
    <t>#salamnolpersen,#salamnolpersen</t>
  </si>
  <si>
    <t>#sindonews,#bukanberitabiasa  refly,harun  ke,mk  gugatan,presidential  daftarkan,gugatan  salam,nol  https,t  ferry,juliantono  nol,persen  juliantono,salam</t>
  </si>
  <si>
    <t>nol,persen  dari,nol  kemampuan,otaknya  kelakuan,pendukung  yang,menggunakan  persen,kemampuan  anies,yang  waras,sobat  persen,dari  otaknya,salam</t>
  </si>
  <si>
    <t>bang,#salamnolpersen  wisata,masa  masa,lalu  nicho_silalahi,listyosigitp  tetap,semangat  lalu,saya  listyosigitp,wisata  semangat,bang  saya,tetap</t>
  </si>
  <si>
    <t>nol,persen  salam,nol  kasuk12kp,tiadayanglain2  yg,lebih  rezimpenipu222,wartegperjuang1  pemilu,rakyat  udinsam78807473,l4uh4ul4m132435  gemblong_hidup,cintada68225244  perubahan,yg  ainu98281951nur,sholihaly</t>
  </si>
  <si>
    <t>hapus,pt20  nol,persen  salam,nol  persen,#jokowimatikandemokrasi  negara,banyak  bubarkan,mk  cina,dll  gambar,capres  tka,cina  #tolakruu_kuhp,#tolakruu_kuhp</t>
  </si>
  <si>
    <t>ogi,via  penyanyi,ogi  lirik,refly  harun,penyanyi  via,youtube  refly,harun  lagu,salam  persen,lirik  nol,persen  salam,nol</t>
  </si>
  <si>
    <t>itu,mesti  karena,memang  wajar,karena  rakyat,bukan  ada,indikasi  itu,wajar  ditangan,parlemen  parlemen,#salamnolpersen  mesti,ditangan  ditangan,rakyat</t>
  </si>
  <si>
    <t>indonesiafaried,ontohbrontoh  lanyallaacademy,pt  akunyangbaik,indonesiafaried  start,negara  persen,itu  nol,persen  ontohbrontoh,lanyallaacademy  negara,demokrasi  demokrasi,#salamnolpersen  awal,start</t>
  </si>
  <si>
    <t>mudjib_trisatya,psi_id  salam,nol  nol,persen  psi_id,salam</t>
  </si>
  <si>
    <t>nikah,dan  terima,nikah  mas,kawinnya  ada,#salamnolpersen  20,dibayar  saya,terima  dan,mas  threshold,20  tunai,ada  dibayar,tunai</t>
  </si>
  <si>
    <t>pt,nol  reflyhz,aamiin  yaa,rabb  aamiin,yaa  berlabuh,#salamnolpersen  rabb,semoga  nol,persen  semoga,pt  segera,berlabuh  persen,segera</t>
  </si>
  <si>
    <t>jujur,sudah  #hapuspt20persen,#salamnolpersen  ini,#hapuspt20persen  dengan,jujur  saat,ini  pemimpin,negara  jawab,dengan  #hapuspt20persen,#hapuspt20persen  adilkah,pemimpin  negara,saat</t>
  </si>
  <si>
    <t>salam,nol  nol,persen  persen,#salamnolpersen</t>
  </si>
  <si>
    <t>reflyhz,#salamnolpersen  #salamnolpersen,#salamnolpersen</t>
  </si>
  <si>
    <t>kawan2,senator  uni,kami  allah,meridhoi  perjuangan,uni  bissmillah,uni  dlm,upaya  kami,mendukung  meridhoi,perjuangan  teriring,doa  kita,semua</t>
  </si>
  <si>
    <t>pak,rh  reflyhz,#salamnolpersen  #salamnolpersen,juga  juga,pak</t>
  </si>
  <si>
    <t>g20,ini  mahasiswa,tolak  ktt,g20  korban,pemukulan  papua,aksi  tolak,ktt  ini,nama  nama,korban  berita,papua  pemukulan,dan</t>
  </si>
  <si>
    <t>assalamualaikum,salam  adil,yg  maksud,dan  sempurna,jikalau  mahasiswa,ini  nol,persen  engkau,rusak  2,langkah  akan,tujuannya  tujuannya,mahasiswa</t>
  </si>
  <si>
    <t>salam,nol  nol,persen  yt,salam  convomf,nonton  nonton,yt</t>
  </si>
  <si>
    <t>lbh,penting  hidup,pesta  demokrasi,#salamnolpersen  klo,makin  pesta,demokrasi  bacapres,yg  lagi,hilangkan  pt,20  aku,suka  penting,lagi</t>
  </si>
  <si>
    <t>salam,nol  fahiraidris,mantap  nol,persen  semangat,uni  uni,salam  mantap,semangat</t>
  </si>
  <si>
    <t>yg,tak  oligarki,pengusaha  pt,0  pemimpin,yg  intelektual,100  tersandera,oligarki  menjamin,pemimpin  0,pt  elektabilitas,0  tak,tersandera</t>
  </si>
  <si>
    <t>anies,b  normalisasi,dll  formula,e  tidak,waras  nol,persen  dll,salam  oc,dp  agenda,janji  politik,anies  ya,pergeralan</t>
  </si>
  <si>
    <t>yang,bersih  gelombang,menggugat  penyelenggaraan,negara  dari,kkn  lurus,yg  aktivis,98  tap,mpr  kkn,#salamnolpersen  menggugat,anti  rapatkan,barisan</t>
  </si>
  <si>
    <t>biar,cpt  salam,nol  2024,salam  nol,persen  sblm,2024  end,game  cpt,end  imun,biar  menarik,nih  game,sblm</t>
  </si>
  <si>
    <t>apakah,layak  hanya,clickbait  menuliskan,hal  yg,mengumandangkan  sekelas,detik  kira,ini  sempat,saya  sama,apakah  saya,kira  perhatian,saja</t>
  </si>
  <si>
    <t>di,2022  masih,berlanjut  salam,kenal  argentianaa,salam  __nramadh4n,jul3arhma3  nol,persen  stevaniehuangg,queen__lagi  4,oh  rayashanum1,__nramadh4n  queen__lagi,argentianaa</t>
  </si>
  <si>
    <t>semoga,perjuangan  perjuangan,membuahkan  membuahkan,hasil  simobawa,semoga  hasil,#salamnolpersen  reflyhz,simobawa</t>
  </si>
  <si>
    <t>bang,semoga  betul,itu  lulus,ke  parlemen,#salamnolpersen  semoga,partai  partai,partaigeloraid  itu,bang  ke,parlemen  partaigeloraid,lulus</t>
  </si>
  <si>
    <t>harus,dihormati  karena,jadwal  selesaikan,tugas  udah,sekarang  2,2024  kasi,waktu  tarung,secara  jadwal,pencoblosan  bahas2,lagi  14,2</t>
  </si>
  <si>
    <t>jangan,lupa  ikut,perlombaan  vokalis,tapi  nol,persen  bandnya,kasihan  biar,ikut  sama,minta  bang,n  beken,coba  jadi,vokalis</t>
  </si>
  <si>
    <t>refly,harun  salam,nol  lagu,salam  ogie,cherista  nol,persen  harun,_  cherista,syair  vokal,ogie  persen,vokal  syair,refly</t>
  </si>
  <si>
    <t>salam,nol  salam,pancasila  nol,persen  pancasila,salam</t>
  </si>
  <si>
    <t>apalagi,kalo  proyek,akan  dimenangkan,oleh  susipudjiastuti,ini  uang,aja  pemilu,2024  yg,skrg  akan,mangkrak  ini,proyek  skrg,kenceng</t>
  </si>
  <si>
    <t>#periksaanaklurah,#periksaanaklurah  dari,presidential  presidential,threshold  threshold,#periksaanaklurah  persen,dari  nol,persen  #periksaanaklurah,youtube  salam,nol</t>
  </si>
  <si>
    <t>ada,klaim  penanganan,covid  19,yang  klaim,tagihan  kementerian,kesehatan  covid,19  rumah,sakit  dibayarkan,pemerintah  nilainya,triliunan  mengakui,ada</t>
  </si>
  <si>
    <t>bali,dibiayai  ke,bali  perdana,ke  turis,perdana  garuda,dan  ternyataaaa,turis  kemenparekraf,garuda  dan,hotel  dibiayai,kemenparekraf</t>
  </si>
  <si>
    <t>sebagai,wakil  waktu,giliran  itu,masih  rasanya,koq  cukup,waktu  rapat,bahas  gak,cukup  ikhlas,bayar  pt,0  mereka,itu</t>
  </si>
  <si>
    <t>turun,ke  mahasiswa,duduk  yg,manis  biar,kami  duduk,yg  atau,tiduran  yg,turun  ke,jalan  emak,yg  saja,biar</t>
  </si>
  <si>
    <t>yang,seharusnya  semuanya,pada  harus,terus  pada,diam  dpr,intelektual  kita,harus  berisik,karena  seharusnya,bersuara  mengapa,kita  kampus,mahasiswa</t>
  </si>
  <si>
    <t>Top Word Pairs in Tweet by Salience</t>
  </si>
  <si>
    <t>masuk,gorong  masuk,ketanah  gorong,gorong  junjunganmu,anis  oce,oke  anis,salam  bukan,masuk  persen,buat  persen,dan  raksasa,kelaut</t>
  </si>
  <si>
    <t>persen,bung  dimana,nih  bung,didu  partai,kongres  dukung,pt  msaid_didu,sailabi1  0,salam  pt,0  nih,bung  berada,dimana</t>
  </si>
  <si>
    <t>nya,dari  suka,berhutang  msaid_didu,penting  berhutang,dan  persen,ajah  keuangannews_id,salam  jawab,yg  dari,kecil  kecil,di  jiwa,tangung</t>
  </si>
  <si>
    <t>jokowi,salam  markonah_003,salam  salam,nol  nol,persen</t>
  </si>
  <si>
    <t>mungkin,ada  harus,dipertimbangkan  pendirian,daripada  saja,mungkin  #murahinkebutuhanpokok,kalau  dipertimbangkan,oleh  #murahinkebutuhanpokok,#murahinkebutuhanpokok  ada,alasan  itu,harus  ada,asa</t>
  </si>
  <si>
    <t>kaya,lu  nol,nol  koma,nol  partai,lu  nol,koma  suara,partai  ummat_diy,ummat_kotadepok  ya,om  amien__rais,ridhorahmadi85  hendri78chniago,salam</t>
  </si>
  <si>
    <t>buzzerp,buzzerp  yg,tdk  gubernur,lah  presidential,treshold  pala,anjing  partai,ini  tetap,fokus  autis,klitoris  tagarnya,akun  lah,tiap</t>
  </si>
  <si>
    <t>persen,reflyhz  reflyhz,dukung  sonyareksby,salam  maspiyuaja,sonyareksby  bima_____,ramlirizal  ramlirizal,salam  dukung,penuh  salam,nol  nol,persen</t>
  </si>
  <si>
    <t>kepusat,lo  reklamasi,munafik  dan,nol  lo,banggain  drun,salam  stadion,pinjam  banggain,drun  dana,kepusat  pinjam,dana  buat,gaji</t>
  </si>
  <si>
    <t>kasuk12kp,tiadayanglain2  yg,lebih  rezimpenipu222,wartegperjuang1  pemilu,rakyat  udinsam78807473,l4uh4ul4m132435  gemblong_hidup,cintada68225244  perubahan,yg  ainu98281951nur,sholihaly  luthfirashya,s_amaluddin  din44yu,sanusiundins</t>
  </si>
  <si>
    <t>persen,#jokowimatikandemokrasi  negara,banyak  bubarkan,mk  cina,dll  gambar,capres  tka,cina  #tolakruu_kuhp,#tolakruu_kuhp  ketimpangan,dari  padahal,negara  pt20,salam</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</si>
  <si>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</si>
  <si>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</si>
  <si>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</si>
  <si>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</si>
  <si>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</si>
  <si>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</si>
  <si>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</si>
  <si>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</si>
  <si>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</si>
  <si>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</si>
  <si>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</si>
  <si>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</si>
  <si>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</si>
  <si>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</si>
  <si>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</si>
  <si>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</si>
  <si>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</si>
  <si>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</si>
  <si>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</si>
  <si>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</si>
  <si>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salam nol persen</t>
  </si>
  <si>
    <t>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</si>
  <si>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</si>
  <si>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</si>
  <si>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</si>
  <si>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</si>
  <si>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</si>
  <si>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</si>
  <si>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</si>
  <si>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</si>
  <si>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</si>
  <si>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</si>
  <si>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</si>
  <si>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</si>
  <si>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</si>
  <si>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</si>
  <si>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</si>
  <si>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</si>
  <si>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</si>
  <si>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</si>
  <si>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Word</t>
  </si>
  <si>
    <t>Sentiment List#1</t>
  </si>
  <si>
    <t>Sentiment List#2</t>
  </si>
  <si>
    <t>Sentiment List#3</t>
  </si>
  <si>
    <t>Words in Sentiment List#1</t>
  </si>
  <si>
    <t>Words in Sentiment List#2</t>
  </si>
  <si>
    <t>Words in Sentiment List#3</t>
  </si>
  <si>
    <t>Non-categorized Words</t>
  </si>
  <si>
    <t>Total Words</t>
  </si>
  <si>
    <t>ada</t>
  </si>
  <si>
    <t>threshold</t>
  </si>
  <si>
    <t>partai</t>
  </si>
  <si>
    <t>rakyat</t>
  </si>
  <si>
    <t>jadi</t>
  </si>
  <si>
    <t>untuk</t>
  </si>
  <si>
    <t>mk</t>
  </si>
  <si>
    <t>presidential</t>
  </si>
  <si>
    <t>yang</t>
  </si>
  <si>
    <t>dp</t>
  </si>
  <si>
    <t>2024</t>
  </si>
  <si>
    <t>amp</t>
  </si>
  <si>
    <t>tidak</t>
  </si>
  <si>
    <t>ya</t>
  </si>
  <si>
    <t>0</t>
  </si>
  <si>
    <t>indonesia</t>
  </si>
  <si>
    <t>ke</t>
  </si>
  <si>
    <t>bisa</t>
  </si>
  <si>
    <t>pemilu</t>
  </si>
  <si>
    <t>negara</t>
  </si>
  <si>
    <t>anies</t>
  </si>
  <si>
    <t>pemimpin</t>
  </si>
  <si>
    <t>oligarki</t>
  </si>
  <si>
    <t>presiden</t>
  </si>
  <si>
    <t>bukan</t>
  </si>
  <si>
    <t>sama</t>
  </si>
  <si>
    <t>demokrasi</t>
  </si>
  <si>
    <t>munafik</t>
  </si>
  <si>
    <t>akan</t>
  </si>
  <si>
    <t>saya</t>
  </si>
  <si>
    <t>saja</t>
  </si>
  <si>
    <t>20</t>
  </si>
  <si>
    <t>semoga</t>
  </si>
  <si>
    <t>karena</t>
  </si>
  <si>
    <t>bang</t>
  </si>
  <si>
    <t>oke</t>
  </si>
  <si>
    <t>itu</t>
  </si>
  <si>
    <t>dgn</t>
  </si>
  <si>
    <t>nya</t>
  </si>
  <si>
    <t>sudah</t>
  </si>
  <si>
    <t>dengan</t>
  </si>
  <si>
    <t>negeri</t>
  </si>
  <si>
    <t>menjadi</t>
  </si>
  <si>
    <t>sehat</t>
  </si>
  <si>
    <t>puas</t>
  </si>
  <si>
    <t>banyak</t>
  </si>
  <si>
    <t>tetap</t>
  </si>
  <si>
    <t>orang</t>
  </si>
  <si>
    <t>harus</t>
  </si>
  <si>
    <t>harun</t>
  </si>
  <si>
    <t>politik</t>
  </si>
  <si>
    <t>masuk</t>
  </si>
  <si>
    <t>oce</t>
  </si>
  <si>
    <t>kkn</t>
  </si>
  <si>
    <t>refly</t>
  </si>
  <si>
    <t>agar</t>
  </si>
  <si>
    <t>baru</t>
  </si>
  <si>
    <t>ayo</t>
  </si>
  <si>
    <t>jika</t>
  </si>
  <si>
    <t>kita</t>
  </si>
  <si>
    <t>dpd</t>
  </si>
  <si>
    <t>dpr</t>
  </si>
  <si>
    <t>buat</t>
  </si>
  <si>
    <t>oleh</t>
  </si>
  <si>
    <t>punya</t>
  </si>
  <si>
    <t>anis</t>
  </si>
  <si>
    <t>#periksaanaklurah</t>
  </si>
  <si>
    <t>kalo</t>
  </si>
  <si>
    <t>air</t>
  </si>
  <si>
    <t>dlm</t>
  </si>
  <si>
    <t>konstitusi</t>
  </si>
  <si>
    <t>pak</t>
  </si>
  <si>
    <t>mahkamah</t>
  </si>
  <si>
    <t>utk</t>
  </si>
  <si>
    <t>waras</t>
  </si>
  <si>
    <t>ibu</t>
  </si>
  <si>
    <t>kalau</t>
  </si>
  <si>
    <t>masih</t>
  </si>
  <si>
    <t>tanpa</t>
  </si>
  <si>
    <t>dukung</t>
  </si>
  <si>
    <t>ri</t>
  </si>
  <si>
    <t>mahasiswa</t>
  </si>
  <si>
    <t>cerdas</t>
  </si>
  <si>
    <t>ruu</t>
  </si>
  <si>
    <t>juga</t>
  </si>
  <si>
    <t>bung</t>
  </si>
  <si>
    <t>ketua</t>
  </si>
  <si>
    <t>allah</t>
  </si>
  <si>
    <t>ingin</t>
  </si>
  <si>
    <t>tdk</t>
  </si>
  <si>
    <t>parlemen</t>
  </si>
  <si>
    <t>gak</t>
  </si>
  <si>
    <t>perjuangan</t>
  </si>
  <si>
    <t>lu</t>
  </si>
  <si>
    <t>tak</t>
  </si>
  <si>
    <t>aja</t>
  </si>
  <si>
    <t>pers</t>
  </si>
  <si>
    <t>gubernur</t>
  </si>
  <si>
    <t>akal</t>
  </si>
  <si>
    <t>mrk</t>
  </si>
  <si>
    <t>batas</t>
  </si>
  <si>
    <t>nyata</t>
  </si>
  <si>
    <t>adalah</t>
  </si>
  <si>
    <t>bersih</t>
  </si>
  <si>
    <t>dana</t>
  </si>
  <si>
    <t>adil</t>
  </si>
  <si>
    <t>lain</t>
  </si>
  <si>
    <t>para</t>
  </si>
  <si>
    <t>pada</t>
  </si>
  <si>
    <t>daerah</t>
  </si>
  <si>
    <t>sangat</t>
  </si>
  <si>
    <t>lebih</t>
  </si>
  <si>
    <t>hapus</t>
  </si>
  <si>
    <t>mantap</t>
  </si>
  <si>
    <t>lupa</t>
  </si>
  <si>
    <t>capres</t>
  </si>
  <si>
    <t>gorong</t>
  </si>
  <si>
    <t>sekali</t>
  </si>
  <si>
    <t>lagi</t>
  </si>
  <si>
    <t>survey</t>
  </si>
  <si>
    <t>tapi</t>
  </si>
  <si>
    <t>semua</t>
  </si>
  <si>
    <t>spt</t>
  </si>
  <si>
    <t>biar</t>
  </si>
  <si>
    <t>suara</t>
  </si>
  <si>
    <t>kang</t>
  </si>
  <si>
    <t>semangat</t>
  </si>
  <si>
    <t>penting</t>
  </si>
  <si>
    <t>dalam</t>
  </si>
  <si>
    <t>dg</t>
  </si>
  <si>
    <t>terus</t>
  </si>
  <si>
    <t>ikn</t>
  </si>
  <si>
    <t>sdh</t>
  </si>
  <si>
    <t>lah</t>
  </si>
  <si>
    <t>ambang</t>
  </si>
  <si>
    <t>mau</t>
  </si>
  <si>
    <t>turun</t>
  </si>
  <si>
    <t>penuh</t>
  </si>
  <si>
    <t>pdip</t>
  </si>
  <si>
    <t>gugatan</t>
  </si>
  <si>
    <t>nih</t>
  </si>
  <si>
    <t>uu</t>
  </si>
  <si>
    <t>hasil</t>
  </si>
  <si>
    <t>1</t>
  </si>
  <si>
    <t>hukum</t>
  </si>
  <si>
    <t>lagu</t>
  </si>
  <si>
    <t>membuat</t>
  </si>
  <si>
    <t>utang</t>
  </si>
  <si>
    <t>boleh</t>
  </si>
  <si>
    <t>ibukota</t>
  </si>
  <si>
    <t>anda</t>
  </si>
  <si>
    <t>satu</t>
  </si>
  <si>
    <t>ikut</t>
  </si>
  <si>
    <t>selalu</t>
  </si>
  <si>
    <t>jangan</t>
  </si>
  <si>
    <t>salah</t>
  </si>
  <si>
    <t>jd</t>
  </si>
  <si>
    <t>maka</t>
  </si>
  <si>
    <t>cadas</t>
  </si>
  <si>
    <t>susah</t>
  </si>
  <si>
    <t>mimpi</t>
  </si>
  <si>
    <t>sekarang</t>
  </si>
  <si>
    <t>kok</t>
  </si>
  <si>
    <t>bismillah</t>
  </si>
  <si>
    <t>kaya</t>
  </si>
  <si>
    <t>mendukung</t>
  </si>
  <si>
    <t>pilih</t>
  </si>
  <si>
    <t>jujur</t>
  </si>
  <si>
    <t>berharap</t>
  </si>
  <si>
    <t>republik</t>
  </si>
  <si>
    <t>daftarkan</t>
  </si>
  <si>
    <t>petisi</t>
  </si>
  <si>
    <t>pasal</t>
  </si>
  <si>
    <t>mundur</t>
  </si>
  <si>
    <t>manusia</t>
  </si>
  <si>
    <t>uud</t>
  </si>
  <si>
    <t>belum</t>
  </si>
  <si>
    <t>kerja</t>
  </si>
  <si>
    <t>kuat</t>
  </si>
  <si>
    <t>cuma</t>
  </si>
  <si>
    <t>seperti</t>
  </si>
  <si>
    <t>pindah</t>
  </si>
  <si>
    <t>wakil</t>
  </si>
  <si>
    <t>sun</t>
  </si>
  <si>
    <t>kembali</t>
  </si>
  <si>
    <t>mungkin</t>
  </si>
  <si>
    <t>upaya</t>
  </si>
  <si>
    <t>tandatangani</t>
  </si>
  <si>
    <t>lewat</t>
  </si>
  <si>
    <t>anggota</t>
  </si>
  <si>
    <t>pt20</t>
  </si>
  <si>
    <t>suka</t>
  </si>
  <si>
    <t>cukong</t>
  </si>
  <si>
    <t>reklamasi</t>
  </si>
  <si>
    <t>jr</t>
  </si>
  <si>
    <t>uni</t>
  </si>
  <si>
    <t>ubed</t>
  </si>
  <si>
    <t>keren</t>
  </si>
  <si>
    <t>proses</t>
  </si>
  <si>
    <t>sukses</t>
  </si>
  <si>
    <t>sy</t>
  </si>
  <si>
    <t>calon</t>
  </si>
  <si>
    <t>media</t>
  </si>
  <si>
    <t>buzzerp</t>
  </si>
  <si>
    <t>hanya</t>
  </si>
  <si>
    <t>#hapuspt20persen</t>
  </si>
  <si>
    <t>aamiin</t>
  </si>
  <si>
    <t>intelektual</t>
  </si>
  <si>
    <t>cukup</t>
  </si>
  <si>
    <t>dia</t>
  </si>
  <si>
    <t>koma</t>
  </si>
  <si>
    <t>seorang</t>
  </si>
  <si>
    <t>kota</t>
  </si>
  <si>
    <t>percaya</t>
  </si>
  <si>
    <t>apalagi</t>
  </si>
  <si>
    <t>udah</t>
  </si>
  <si>
    <t>bikin</t>
  </si>
  <si>
    <t>hal</t>
  </si>
  <si>
    <t>akhirnya</t>
  </si>
  <si>
    <t>kan</t>
  </si>
  <si>
    <t>7</t>
  </si>
  <si>
    <t>2</t>
  </si>
  <si>
    <t>#gugatpresidentialthreshold</t>
  </si>
  <si>
    <t>rh</t>
  </si>
  <si>
    <t>ttg</t>
  </si>
  <si>
    <t>benar2</t>
  </si>
  <si>
    <t>stadion</t>
  </si>
  <si>
    <t>ketimbang</t>
  </si>
  <si>
    <t>jawab</t>
  </si>
  <si>
    <t>makin</t>
  </si>
  <si>
    <t>ahmad</t>
  </si>
  <si>
    <t>#kpubiangkerokkecurangan</t>
  </si>
  <si>
    <t>mafia</t>
  </si>
  <si>
    <t>melalui</t>
  </si>
  <si>
    <t>kasus</t>
  </si>
  <si>
    <t>hrs</t>
  </si>
  <si>
    <t>tiga</t>
  </si>
  <si>
    <t>kepusat</t>
  </si>
  <si>
    <t>masyarakat</t>
  </si>
  <si>
    <t>kira</t>
  </si>
  <si>
    <t>wapres</t>
  </si>
  <si>
    <t>cawapres</t>
  </si>
  <si>
    <t>adanya</t>
  </si>
  <si>
    <t>bangsa</t>
  </si>
  <si>
    <t>bohong</t>
  </si>
  <si>
    <t>#tolakruu_kuhp</t>
  </si>
  <si>
    <t>rumah</t>
  </si>
  <si>
    <t>pd</t>
  </si>
  <si>
    <t>wajar</t>
  </si>
  <si>
    <t>dikasih</t>
  </si>
  <si>
    <t>tahapan</t>
  </si>
  <si>
    <t>bubar</t>
  </si>
  <si>
    <t>loe</t>
  </si>
  <si>
    <t>titip</t>
  </si>
  <si>
    <t>drun</t>
  </si>
  <si>
    <t>pencalonan</t>
  </si>
  <si>
    <t>keputusan</t>
  </si>
  <si>
    <t>gk</t>
  </si>
  <si>
    <t>pilihan</t>
  </si>
  <si>
    <t>ciut</t>
  </si>
  <si>
    <t>jgn</t>
  </si>
  <si>
    <t>deh</t>
  </si>
  <si>
    <t>munapik</t>
  </si>
  <si>
    <t>mandang</t>
  </si>
  <si>
    <t>ferry</t>
  </si>
  <si>
    <t>apakah</t>
  </si>
  <si>
    <t>beramai</t>
  </si>
  <si>
    <t>ketika</t>
  </si>
  <si>
    <t>lihat</t>
  </si>
  <si>
    <t>sgr</t>
  </si>
  <si>
    <t>sok</t>
  </si>
  <si>
    <t>bangun</t>
  </si>
  <si>
    <t>supaya</t>
  </si>
  <si>
    <t>junjunganmu</t>
  </si>
  <si>
    <t>memang</t>
  </si>
  <si>
    <t>sblm</t>
  </si>
  <si>
    <t>berpihak</t>
  </si>
  <si>
    <t>bi</t>
  </si>
  <si>
    <t>apa</t>
  </si>
  <si>
    <t>sejati</t>
  </si>
  <si>
    <t>janji</t>
  </si>
  <si>
    <t>melawan</t>
  </si>
  <si>
    <t>parkir</t>
  </si>
  <si>
    <t>terimakasih</t>
  </si>
  <si>
    <t>mpr</t>
  </si>
  <si>
    <t>legal</t>
  </si>
  <si>
    <t>kelaut</t>
  </si>
  <si>
    <t>#jokowimatikandemokrasi</t>
  </si>
  <si>
    <t>ketanah</t>
  </si>
  <si>
    <t>waktu</t>
  </si>
  <si>
    <t>pun</t>
  </si>
  <si>
    <t>pinjam</t>
  </si>
  <si>
    <t>gaji</t>
  </si>
  <si>
    <t>semakin</t>
  </si>
  <si>
    <t>dikebut</t>
  </si>
  <si>
    <t>laki</t>
  </si>
  <si>
    <t>100</t>
  </si>
  <si>
    <t>hari</t>
  </si>
  <si>
    <t>menegakkan</t>
  </si>
  <si>
    <t>bilang</t>
  </si>
  <si>
    <t>begitu</t>
  </si>
  <si>
    <t>otak</t>
  </si>
  <si>
    <t>mereka</t>
  </si>
  <si>
    <t>proyek</t>
  </si>
  <si>
    <t>petarung</t>
  </si>
  <si>
    <t>45</t>
  </si>
  <si>
    <t>kali</t>
  </si>
  <si>
    <t>kami</t>
  </si>
  <si>
    <t>ganjar</t>
  </si>
  <si>
    <t>pagi</t>
  </si>
  <si>
    <t>pasti</t>
  </si>
  <si>
    <t>mengakui</t>
  </si>
  <si>
    <t>datang</t>
  </si>
  <si>
    <t>dr</t>
  </si>
  <si>
    <t>hr</t>
  </si>
  <si>
    <t>merdeka</t>
  </si>
  <si>
    <t>sobat</t>
  </si>
  <si>
    <t>engkau</t>
  </si>
  <si>
    <t>mestinya</t>
  </si>
  <si>
    <t>98</t>
  </si>
  <si>
    <t>yani</t>
  </si>
  <si>
    <t>youtubeilc</t>
  </si>
  <si>
    <t>pemindahan</t>
  </si>
  <si>
    <t>juliantono</t>
  </si>
  <si>
    <t>layak</t>
  </si>
  <si>
    <t>tengah</t>
  </si>
  <si>
    <t>uang</t>
  </si>
  <si>
    <t>elektabilitas</t>
  </si>
  <si>
    <t>dosa</t>
  </si>
  <si>
    <t>diambil</t>
  </si>
  <si>
    <t>nagari</t>
  </si>
  <si>
    <t>hujan</t>
  </si>
  <si>
    <t>nggak</t>
  </si>
  <si>
    <t>game</t>
  </si>
  <si>
    <t>tujuannya</t>
  </si>
  <si>
    <t>#referendummakzulkanjokowi</t>
  </si>
  <si>
    <t>#murahinkebutuhanpokok</t>
  </si>
  <si>
    <t>ekonomi</t>
  </si>
  <si>
    <t>namun</t>
  </si>
  <si>
    <t>dapat</t>
  </si>
  <si>
    <t>ditangan</t>
  </si>
  <si>
    <t>lo</t>
  </si>
  <si>
    <t>embel</t>
  </si>
  <si>
    <t>tenggelamkan</t>
  </si>
  <si>
    <t>sebelumnya</t>
  </si>
  <si>
    <t>pendukung</t>
  </si>
  <si>
    <t>anjing</t>
  </si>
  <si>
    <t>raksasa</t>
  </si>
  <si>
    <t>bersihkan</t>
  </si>
  <si>
    <t>2017</t>
  </si>
  <si>
    <t>yaitu</t>
  </si>
  <si>
    <t>pks</t>
  </si>
  <si>
    <t>dll</t>
  </si>
  <si>
    <t>akademik</t>
  </si>
  <si>
    <t>2022</t>
  </si>
  <si>
    <t>benar</t>
  </si>
  <si>
    <t>sendiri</t>
  </si>
  <si>
    <t>hak</t>
  </si>
  <si>
    <t>alasan</t>
  </si>
  <si>
    <t>utama</t>
  </si>
  <si>
    <t>unggul</t>
  </si>
  <si>
    <t>tidur</t>
  </si>
  <si>
    <t>aktivis</t>
  </si>
  <si>
    <t>skrg</t>
  </si>
  <si>
    <t>kesirep</t>
  </si>
  <si>
    <t>paling</t>
  </si>
  <si>
    <t>amanah</t>
  </si>
  <si>
    <t>kenal</t>
  </si>
  <si>
    <t>4</t>
  </si>
  <si>
    <t>6</t>
  </si>
  <si>
    <t>menolak</t>
  </si>
  <si>
    <t>#2024rakyatpunyakuasa</t>
  </si>
  <si>
    <t>oh</t>
  </si>
  <si>
    <t>kekuasaan</t>
  </si>
  <si>
    <t>timur</t>
  </si>
  <si>
    <t>b</t>
  </si>
  <si>
    <t>n</t>
  </si>
  <si>
    <t>t</t>
  </si>
  <si>
    <t>perubahan</t>
  </si>
  <si>
    <t>tlh</t>
  </si>
  <si>
    <t>ramai</t>
  </si>
  <si>
    <t>diri</t>
  </si>
  <si>
    <t>berbagai</t>
  </si>
  <si>
    <t>pemerintah</t>
  </si>
  <si>
    <t>klo</t>
  </si>
  <si>
    <t>maju</t>
  </si>
  <si>
    <t>kekuatan</t>
  </si>
  <si>
    <t>jauh</t>
  </si>
  <si>
    <t>bandnya</t>
  </si>
  <si>
    <t>integritas</t>
  </si>
  <si>
    <t>mesti</t>
  </si>
  <si>
    <t>tersandera</t>
  </si>
  <si>
    <t>banggain</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</si>
  <si>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</si>
  <si>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</si>
  <si>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</si>
  <si>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</si>
  <si>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</si>
  <si>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</si>
  <si>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</si>
  <si>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</si>
  <si>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</si>
  <si>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</si>
  <si>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</si>
  <si>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</si>
  <si>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</si>
  <si>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</si>
  <si>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</si>
  <si>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</si>
  <si>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</si>
  <si>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</si>
  <si>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</si>
  <si>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</si>
  <si>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</si>
  <si>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</si>
  <si>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</si>
  <si>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</si>
  <si>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</si>
  <si>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</si>
  <si>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</si>
  <si>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</si>
  <si>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Row Labels</t>
  </si>
  <si>
    <t>Grand Total</t>
  </si>
  <si>
    <t>2021</t>
  </si>
  <si>
    <t>Des</t>
  </si>
  <si>
    <t>07-Des</t>
  </si>
  <si>
    <t>08-Des</t>
  </si>
  <si>
    <t>09-Des</t>
  </si>
  <si>
    <t>10-Des</t>
  </si>
  <si>
    <t>12-Des</t>
  </si>
  <si>
    <t>13-Des</t>
  </si>
  <si>
    <t>14-Des</t>
  </si>
  <si>
    <t>15-Des</t>
  </si>
  <si>
    <t>17-Des</t>
  </si>
  <si>
    <t>20-Des</t>
  </si>
  <si>
    <t>23-Des</t>
  </si>
  <si>
    <t>25-Des</t>
  </si>
  <si>
    <t>26-Des</t>
  </si>
  <si>
    <t>28-Des</t>
  </si>
  <si>
    <t>29-Des</t>
  </si>
  <si>
    <t>30-Des</t>
  </si>
  <si>
    <t>Jan</t>
  </si>
  <si>
    <t>01-Jan</t>
  </si>
  <si>
    <t>02-Jan</t>
  </si>
  <si>
    <t>03-Jan</t>
  </si>
  <si>
    <t>04-Jan</t>
  </si>
  <si>
    <t>05-Jan</t>
  </si>
  <si>
    <t>07-Jan</t>
  </si>
  <si>
    <t>08-Jan</t>
  </si>
  <si>
    <t>09-Jan</t>
  </si>
  <si>
    <t>10-Jan</t>
  </si>
  <si>
    <t>11-Jan</t>
  </si>
  <si>
    <t>12-Jan</t>
  </si>
  <si>
    <t>13-Jan</t>
  </si>
  <si>
    <t>14-Jan</t>
  </si>
  <si>
    <t>16-Jan</t>
  </si>
  <si>
    <t>17-Jan</t>
  </si>
  <si>
    <t>18-Jan</t>
  </si>
  <si>
    <t>19-Jan</t>
  </si>
  <si>
    <t>20-Jan</t>
  </si>
  <si>
    <t>25-Jan</t>
  </si>
  <si>
    <t>26-Jan</t>
  </si>
  <si>
    <t>27-Jan</t>
  </si>
  <si>
    <t>28-Jan</t>
  </si>
  <si>
    <t>30-Jan</t>
  </si>
  <si>
    <t>31-Jan</t>
  </si>
  <si>
    <t>Feb</t>
  </si>
  <si>
    <t>01-Feb</t>
  </si>
  <si>
    <t>03-Feb</t>
  </si>
  <si>
    <t>04-Feb</t>
  </si>
  <si>
    <t>05-Feb</t>
  </si>
  <si>
    <t>06-Feb</t>
  </si>
  <si>
    <t>07-Feb</t>
  </si>
  <si>
    <t>08-Feb</t>
  </si>
  <si>
    <t>11-Feb</t>
  </si>
  <si>
    <t>13-Feb</t>
  </si>
  <si>
    <t>14-Feb</t>
  </si>
  <si>
    <t>15-Feb</t>
  </si>
  <si>
    <t>17-Feb</t>
  </si>
  <si>
    <t>18-Feb</t>
  </si>
  <si>
    <t>19-Feb</t>
  </si>
  <si>
    <t>20-Feb</t>
  </si>
  <si>
    <t>23-Feb</t>
  </si>
  <si>
    <t>Mar</t>
  </si>
  <si>
    <t>12-Mar</t>
  </si>
  <si>
    <t>21-Mar</t>
  </si>
  <si>
    <t>25-Mar</t>
  </si>
  <si>
    <t>27-Mar</t>
  </si>
  <si>
    <t>Apr</t>
  </si>
  <si>
    <t>18-Apr</t>
  </si>
  <si>
    <t>28-Apr</t>
  </si>
  <si>
    <t>Mei</t>
  </si>
  <si>
    <t>17-Mei</t>
  </si>
  <si>
    <t>23-Mei</t>
  </si>
  <si>
    <t>27-Mei</t>
  </si>
  <si>
    <t>Jun</t>
  </si>
  <si>
    <t>05-Jun</t>
  </si>
  <si>
    <t>08-Jun</t>
  </si>
  <si>
    <t>17-Jun</t>
  </si>
  <si>
    <t>20-Jun</t>
  </si>
  <si>
    <t>23-Jun</t>
  </si>
  <si>
    <t>Jul</t>
  </si>
  <si>
    <t>02-Jul</t>
  </si>
  <si>
    <t>13-Jul</t>
  </si>
  <si>
    <t>14-Jul</t>
  </si>
  <si>
    <t>15-Jul</t>
  </si>
  <si>
    <t>22-Jul</t>
  </si>
  <si>
    <t>26-Jul</t>
  </si>
  <si>
    <t>30-Jul</t>
  </si>
  <si>
    <t>Agu</t>
  </si>
  <si>
    <t>03-Agu</t>
  </si>
  <si>
    <t>04-Agu</t>
  </si>
  <si>
    <t>06-Agu</t>
  </si>
  <si>
    <t>15-Agu</t>
  </si>
  <si>
    <t>20-Agu</t>
  </si>
  <si>
    <t>Sep</t>
  </si>
  <si>
    <t>04-Sep</t>
  </si>
  <si>
    <t>07-Sep</t>
  </si>
  <si>
    <t>18-Sep</t>
  </si>
  <si>
    <t>28-Sep</t>
  </si>
  <si>
    <t>29-Sep</t>
  </si>
  <si>
    <t>Okt</t>
  </si>
  <si>
    <t>06-Okt</t>
  </si>
  <si>
    <t>09-Okt</t>
  </si>
  <si>
    <t>16-Okt</t>
  </si>
  <si>
    <t>25-Okt</t>
  </si>
  <si>
    <t>Nov</t>
  </si>
  <si>
    <t>06-Nov</t>
  </si>
  <si>
    <t>16-Nov</t>
  </si>
  <si>
    <t>17-Nov</t>
  </si>
  <si>
    <t>25-Nov</t>
  </si>
  <si>
    <t>29-Nov</t>
  </si>
  <si>
    <t>16-Des</t>
  </si>
  <si>
    <t>2023</t>
  </si>
  <si>
    <t>10-Mar</t>
  </si>
  <si>
    <t>03-Apr</t>
  </si>
  <si>
    <t>10-Apr</t>
  </si>
  <si>
    <t>10-Jun</t>
  </si>
  <si>
    <t>09-Agu</t>
  </si>
  <si>
    <t>21-Agu</t>
  </si>
  <si>
    <t>Edges</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</si>
  <si>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</si>
  <si>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</si>
  <si>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</si>
  <si>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</si>
  <si>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</si>
  <si>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</si>
  <si>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</si>
  <si>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</si>
  <si>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</si>
  <si>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</si>
  <si>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</si>
  <si>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</si>
  <si>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</si>
  <si>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</si>
  <si>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</si>
  <si>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</si>
  <si>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</si>
  <si>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</si>
  <si>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</si>
  <si>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</si>
  <si>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</si>
  <si>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</si>
  <si>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</si>
  <si>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</si>
  <si>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</si>
  <si>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</si>
  <si>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</si>
  <si>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</si>
  <si>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</si>
  <si>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</si>
  <si>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</si>
  <si>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</si>
  <si>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</si>
  <si>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</si>
  <si>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</si>
  <si>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</si>
  <si>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</si>
  <si>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</si>
  <si>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</si>
  <si>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</si>
  <si>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</si>
  <si>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</si>
  <si>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</si>
  <si>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</si>
  <si>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</si>
  <si>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</si>
  <si>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</si>
  <si>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</si>
  <si>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</si>
  <si>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</si>
  <si>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</si>
  <si>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</si>
  <si>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</si>
  <si>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Subgraph</t>
  </si>
  <si>
    <t>Workbook Settings 14</t>
  </si>
  <si>
    <t>Top URLs in Tweet in G1</t>
  </si>
  <si>
    <t>Top URLs in Tweet in G2</t>
  </si>
  <si>
    <t>G1 Count</t>
  </si>
  <si>
    <t>https://keuangannews.id/jokowi-disebut-melakukan-kkn-terang-terangan-gibran-dan-bobby-nasution-disinggung/</t>
  </si>
  <si>
    <t>https://cnnindonesia.com/ekonomi/20220214160006-532-759025/ri-turun-jadi-negara-penghasilan-menengah-bawah-bi-salahkan-pandemi?utm_source=twitter&amp;utm_medium=oa&amp;utm_content=cnnindonesia&amp;utm_campaign=cmssocmed</t>
  </si>
  <si>
    <t>https://www.democrazy.id/2022/02/Proyek-IKN-Baru-Dikritik-Banyak-Kalangan-Refly-Harun-DPR-Tak-Berkutik-di-Hadapan-Jokowi.html</t>
  </si>
  <si>
    <t>Top URLs in Tweet in G3</t>
  </si>
  <si>
    <t>G2 Count</t>
  </si>
  <si>
    <t>Top URLs in Tweet in G4</t>
  </si>
  <si>
    <t>G3 Count</t>
  </si>
  <si>
    <t>http://www.gelora.co/2022/02/anggota-dpr-desak-kemenhub-usut-tuntas.html</t>
  </si>
  <si>
    <t>Top URLs in Tweet in G5</t>
  </si>
  <si>
    <t>G4 Count</t>
  </si>
  <si>
    <t>https://chng.it/K4pfyT7w</t>
  </si>
  <si>
    <t>Top URLs in Tweet in G6</t>
  </si>
  <si>
    <t>G5 Count</t>
  </si>
  <si>
    <t>Top URLs in Tweet in G7</t>
  </si>
  <si>
    <t>G6 Count</t>
  </si>
  <si>
    <t>Top URLs in Tweet in G8</t>
  </si>
  <si>
    <t>G7 Count</t>
  </si>
  <si>
    <t>Top URLs in Tweet in G9</t>
  </si>
  <si>
    <t>G8 Count</t>
  </si>
  <si>
    <t>https://www.oposisicerdas.com/2021/12/kembali-maju-ke-mk-agar-presidential.html</t>
  </si>
  <si>
    <t>Top URLs in Tweet in G10</t>
  </si>
  <si>
    <t>G9 Count</t>
  </si>
  <si>
    <t>G10 Count</t>
  </si>
  <si>
    <t>Top Hashtags in Tweet in G1</t>
  </si>
  <si>
    <t>Top Hashtags in Tweet in G2</t>
  </si>
  <si>
    <t>dukungubedilahbadrun</t>
  </si>
  <si>
    <t>lawankkn</t>
  </si>
  <si>
    <t>jokowigagal</t>
  </si>
  <si>
    <t>Top Hashtags in Tweet in G3</t>
  </si>
  <si>
    <t>Top Hashtags in Tweet in G4</t>
  </si>
  <si>
    <t>Top Hashtags in Tweet in G5</t>
  </si>
  <si>
    <t>bubarkanfraksi</t>
  </si>
  <si>
    <t>Top Hashtags in Tweet in G6</t>
  </si>
  <si>
    <t>Top Hashtags in Tweet in G7</t>
  </si>
  <si>
    <t>Top Hashtags in Tweet in G8</t>
  </si>
  <si>
    <t>Top Hashtags in Tweet in G9</t>
  </si>
  <si>
    <t>presidentielles2022</t>
  </si>
  <si>
    <t>innallillahi</t>
  </si>
  <si>
    <t>walikotabandung</t>
  </si>
  <si>
    <t>gopay</t>
  </si>
  <si>
    <t>Top Hashtags in Tweet in G10</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</si>
  <si>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</si>
  <si>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</si>
  <si>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</si>
  <si>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</si>
  <si>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</si>
  <si>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</si>
  <si>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</si>
  <si>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</si>
  <si>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</si>
  <si>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</si>
  <si>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tiadayanglain2 salam nol #referendummakzulkanjokowi #kpubiangkerokkecurangan sholihaly persen</t>
  </si>
  <si>
    <t>ya di 2022</t>
  </si>
  <si>
    <t>#salamnolpersen nicho_silalahi papa_loren</t>
  </si>
  <si>
    <t>bang sama bandnya ya</t>
  </si>
  <si>
    <t>kalau aja</t>
  </si>
  <si>
    <t>puas dikasih mandang</t>
  </si>
  <si>
    <t>embel yang</t>
  </si>
  <si>
    <t>nol persen salam</t>
  </si>
  <si>
    <t>yg media</t>
  </si>
  <si>
    <t>anies janji b waras</t>
  </si>
  <si>
    <t>ahmad untuk yani persen salam</t>
  </si>
  <si>
    <t>#periksaanaklurah persen nol salam</t>
  </si>
  <si>
    <t>nagari salam</t>
  </si>
  <si>
    <t>Top Word Pairs in Tweet in G1</t>
  </si>
  <si>
    <t>Top Word Pairs in Tweet in G2</t>
  </si>
  <si>
    <t>persen,2024</t>
  </si>
  <si>
    <t>kang,ubed</t>
  </si>
  <si>
    <t>Top Word Pairs in Tweet in G3</t>
  </si>
  <si>
    <t>ruu,ikn</t>
  </si>
  <si>
    <t>tahapan,pemilu</t>
  </si>
  <si>
    <t>Top Word Pairs in Tweet in G4</t>
  </si>
  <si>
    <t>Top Word Pairs in Tweet in G5</t>
  </si>
  <si>
    <t>konstitusi,republik</t>
  </si>
  <si>
    <t>indonesia,presidential</t>
  </si>
  <si>
    <t>threshold,nol</t>
  </si>
  <si>
    <t>republik,indonesia</t>
  </si>
  <si>
    <t>Top Word Pairs in Tweet in G6</t>
  </si>
  <si>
    <t>oke,dan</t>
  </si>
  <si>
    <t>dan,reklamasi</t>
  </si>
  <si>
    <t>dan,oce</t>
  </si>
  <si>
    <t>persen,dan</t>
  </si>
  <si>
    <t>Top Word Pairs in Tweet in G7</t>
  </si>
  <si>
    <t>nol,nol</t>
  </si>
  <si>
    <t>kaya,lu</t>
  </si>
  <si>
    <t>koma,nol</t>
  </si>
  <si>
    <t>partai,lu</t>
  </si>
  <si>
    <t>nol,koma</t>
  </si>
  <si>
    <t>suara,partai</t>
  </si>
  <si>
    <t>Top Word Pairs in Tweet in G8</t>
  </si>
  <si>
    <t>reflyhz,salam</t>
  </si>
  <si>
    <t>Top Word Pairs in Tweet in G9</t>
  </si>
  <si>
    <t>Top Word Pairs in Tweet in G10</t>
  </si>
  <si>
    <t>di,2022</t>
  </si>
  <si>
    <t>nol,persen  salam,nol</t>
  </si>
  <si>
    <t>rakyat,nya</t>
  </si>
  <si>
    <t>puas,dikasih  puas,mandang</t>
  </si>
  <si>
    <t>anies,b</t>
  </si>
  <si>
    <t>ahmad,yani</t>
  </si>
  <si>
    <t>nol,persen  pt,nol  salam,nol</t>
  </si>
  <si>
    <t>#periksaanaklurah,#periksaanaklurah  salam,nol  nol,persen</t>
  </si>
  <si>
    <t>din44yu</t>
  </si>
  <si>
    <t>dekrittolol</t>
  </si>
  <si>
    <t>micheladam5l5</t>
  </si>
  <si>
    <t>king_kongreturn</t>
  </si>
  <si>
    <t>zulkhairylw89</t>
  </si>
  <si>
    <t>msd</t>
  </si>
  <si>
    <t>oppositesurau</t>
  </si>
  <si>
    <t>dpdridkijakarta</t>
  </si>
  <si>
    <t>maspiyuaja</t>
  </si>
  <si>
    <t>__dtya_</t>
  </si>
  <si>
    <t>la_hamu</t>
  </si>
  <si>
    <t>helmi_felis</t>
  </si>
  <si>
    <t>tofatofa_id</t>
  </si>
  <si>
    <t>djudjup</t>
  </si>
  <si>
    <t>ummat_diy</t>
  </si>
  <si>
    <t>drevachaniago</t>
  </si>
  <si>
    <t>simobawa</t>
  </si>
  <si>
    <t>siajapul</t>
  </si>
  <si>
    <t>akunyangbaik</t>
  </si>
  <si>
    <t>indonesiafaried</t>
  </si>
  <si>
    <t>din44yu dekrittolol</t>
  </si>
  <si>
    <t>hendri78chniago 1keadilan helmi_felis</t>
  </si>
  <si>
    <t>reflyhz drevachaniago</t>
  </si>
  <si>
    <t>oposisicerdas akunyangbaik</t>
  </si>
  <si>
    <t>nicho_silalahi papa_loren smartizen_</t>
  </si>
  <si>
    <t>tvonenews panca66 matanajwa</t>
  </si>
  <si>
    <t>rizmaya__</t>
  </si>
  <si>
    <t>jokowi markonah_003</t>
  </si>
  <si>
    <t>mudjib_trisatya</t>
  </si>
  <si>
    <t>sholihaly tiadayanglain2 sanusiundins manisewidiarti ikotjo22 namatanpaspasi s3creth_m4nz micheladam5l5 king_kongreturn belangtiga</t>
  </si>
  <si>
    <t>simobawa siajapul reflyhz</t>
  </si>
  <si>
    <t>eddyroyady bosradikal rayashanum1 __nramadh4n jul3arhma3 stevaniehuangg queen__lagi argentianaa</t>
  </si>
  <si>
    <t>divhumas_polri ruhutsitompul</t>
  </si>
  <si>
    <t>f1rmanh hdsambodo molfina14 there91194264 anto1157 jamlean_saleh ngalalakon situkangutang_0 deslini2 boetix</t>
  </si>
  <si>
    <t>helmifelis_ hendri78chniago fachniadin mskaban3 1keadilan amien__rais ummat_kotadepok ridhorahmadi85 dpp_partaiummat buniyani1</t>
  </si>
  <si>
    <t>jokolipservice hermin165 mdariusdah heindrahayyun1 81calra umiyati70812108 yeni_ekawati reflyhz muhamma53050021 elqtlqcri7fd9ng</t>
  </si>
  <si>
    <t>lanyallaacademy oposisicerdas awakblangdalam yosephrosario_ dennyindrayana vandinnie rasyeed_amree ontohbrontoh ferden62480561</t>
  </si>
  <si>
    <t>argentianaa naylaazkiaa syafniir jul3arhma3 eddyroyady bosradikal rayashanum1</t>
  </si>
  <si>
    <t>papa_loren nicho_silalahi enirositaa bijaksan4 smartizen_ y_yoeng listyosigitp</t>
  </si>
  <si>
    <t>tvonenews panca66 matanajwa l_kunti harianto_zanuar</t>
  </si>
  <si>
    <t>fahrihamzah partaigeloraid nasirudin_manan rachman_ayah</t>
  </si>
  <si>
    <t>divhumas_polri ruhutsitompul megapkeliduan nurhanip3</t>
  </si>
  <si>
    <t>mghufro38074283 reihan_djaya iwi18297130</t>
  </si>
  <si>
    <t>_rizmaya__ pdemokrat hasan_rosadi</t>
  </si>
  <si>
    <t>doankwarto maknyinyik abajijeh</t>
  </si>
  <si>
    <t>ganjarpranowo caryantoawuy __rismawidiono_</t>
  </si>
  <si>
    <t>tan_mar3m jokowi sjaifulskb</t>
  </si>
  <si>
    <t>susipudjiastuti dikisoesanto</t>
  </si>
  <si>
    <t>presedentbuzzer dek_bintank</t>
  </si>
  <si>
    <t>krmtroysuryo2 kretek_mantab</t>
  </si>
  <si>
    <t>abu_waras anjariuss</t>
  </si>
  <si>
    <t>rahmaniarbaftim taharudddin</t>
  </si>
  <si>
    <t>convomf yparkjihoon</t>
  </si>
  <si>
    <t>news_jubi rudyhar51284265</t>
  </si>
  <si>
    <t>psi_id rakyatkecik</t>
  </si>
  <si>
    <t>youtube marieberubah</t>
  </si>
  <si>
    <t>ayanimel salam_santun</t>
  </si>
  <si>
    <t>anunksalsabiel1 nfatqi</t>
  </si>
  <si>
    <t>bisniscom takon_wong</t>
  </si>
  <si>
    <t>ilctalkshow ahmadmuda19</t>
  </si>
  <si>
    <t>lovelyb1e salamdaivaj</t>
  </si>
  <si>
    <t>salamdiaha elzusmar3</t>
  </si>
  <si>
    <t>febridiansyah kasman76182831</t>
  </si>
  <si>
    <t>bumnbersatu ayuannara</t>
  </si>
  <si>
    <t>Group 1</t>
  </si>
  <si>
    <t>Group 2</t>
  </si>
  <si>
    <t>Workbook Settings 15</t>
  </si>
  <si>
    <t>Workbook Settings 16</t>
  </si>
  <si>
    <t>https://nasional.sindonews.com/read/621377/12/daftarkan-gugatan-presidential-threshold-ke-mk-refly-harun-dan-ferry-juliantono-salam-nol-persen-1638875579 https://nasional.tempo.co/read/1612284/survei-charta-politika-ganjar-unggul-telak-715-persen-di-jawa-tengah-puan-nol-koma#.YtH7LVDzC6U.twitter http://dlvr.it/SdWj9q https://www.dailynewsindonesia.com/news/daftarkan-gugatan-pt-ke-mk-refly-harun-salam-nol-persen/</t>
  </si>
  <si>
    <t>bukanberitabiasa</t>
  </si>
  <si>
    <t>nol persen salam #salamnolpersen pt dari ini yg di threshold</t>
  </si>
  <si>
    <t>nol ada mk persen dalam pt salam ini #murahinkebutuhanpokok</t>
  </si>
  <si>
    <t>daftarkan,gugatan</t>
  </si>
  <si>
    <t>mk,refly</t>
  </si>
  <si>
    <t>persen,dari</t>
  </si>
  <si>
    <t>pt,20</t>
  </si>
  <si>
    <t>beramai,ramai</t>
  </si>
  <si>
    <t>reflyhz,#salamnolpersen  nol,persen  reflyhz,salam  salam,nol</t>
  </si>
  <si>
    <t>nol,persen  presidential,threshold  salam,nol</t>
  </si>
  <si>
    <t>enggalpamukty</t>
  </si>
  <si>
    <t>alloefrat</t>
  </si>
  <si>
    <t>bemui_official sahabat_bangsa hnurwahid fahiraidris sutanmangarahrp oppositesurau jansen_jsp uyokback dimasakbarz enggalpamukty</t>
  </si>
  <si>
    <t>alloefrat amien__rais ridhorahmadi85 tofatofa_id buniyani1 mskaban3 dppgardaummat dpp_partaiummat djudjup ummat_diy</t>
  </si>
  <si>
    <t>bebaskanferdinand jokowigagal jendralbalihoantiulama tangkapferdinand presiden salamnolpersen</t>
  </si>
  <si>
    <t>salamnolpersen gugatpresidentialthreshold hapuspt20persen presidentielles2022 innallillahi walikotabandung gopay</t>
  </si>
  <si>
    <t>bebaskanferdinand jendralbalihoantiulama jokowigagal presiden salamnolpersen tangkapferdinand</t>
  </si>
  <si>
    <t>gugatpresidentialthreshold walikotabandung presidentielles2022 hapuspt20persen gopay innallillahi salamnolpersen</t>
  </si>
  <si>
    <t>bi negara bawah jadi turun pandemi menengah ri penghasilan salahkan</t>
  </si>
  <si>
    <t>dpr harun dikritik proyek hadapan refly ikn banyak kalangan tak</t>
  </si>
  <si>
    <t>usut dpr paksa kasus malinau air desak pesawat susi kemenhub</t>
  </si>
  <si>
    <t>judicial yaitu tahun 2017 tertuang yg 27 edwin dpd konstitusi</t>
  </si>
  <si>
    <t>jadi saya sedih anak hukum air menunggu begini bini mendidih</t>
  </si>
  <si>
    <t>salim kkn terang nasution dan oleh bobby jokowi terangan disinggung</t>
  </si>
  <si>
    <t>nya #salamnolpersen rakyat yang dan pinter membuat cerdas #revolusiakhlaq penguasa</t>
  </si>
  <si>
    <t>fair presidential election jujur free pencalonan presiden ambang threshold dan</t>
  </si>
  <si>
    <t>oligarki indonesia #salamnolpersen #gugatpresidentialthreshold dengan melawan dan syarat adil merusak</t>
  </si>
  <si>
    <t>partai hapuskan capres fahiraidris mrk aheryawan harus fpksdprri agar satu2nya</t>
  </si>
  <si>
    <t>pemilu sdh tahapan sgr dimulai utk yg pasal hrs ada</t>
  </si>
  <si>
    <t>jadi fahiraidris sistem ini geloraco pt di benar hapus harus</t>
  </si>
  <si>
    <t>#peoplepower iki cangkem wong elek #salamnolpersen oposisicerdas ngunu mesti</t>
  </si>
  <si>
    <t>rakyat yang dan nya pinter membuat cerdas #revolusiakhlaq penguasa tidak</t>
  </si>
  <si>
    <t>buzzerp lupa anda tdk yg tagar jokowi wajah teror anjing</t>
  </si>
  <si>
    <t>dan oligarki #gugatpresidentialthreshold dengan melawan syarat adil merusak #hapuspt20persen makmur</t>
  </si>
  <si>
    <t>spt official_pan pilihan jr nyata bemui_official ini pt rakyat negeri</t>
  </si>
  <si>
    <t>nol,persen  salam,nol  saja,deh  pt,nol  salam,pt  persen,saja  geiszchalifah,salam  democrazymedia,salam  persen,bang  zulkhairylw89,geiszchalifah</t>
  </si>
  <si>
    <t>negara,penghasilan  bawah,bi  salahkan,pandemi  jadi,negara  menengah,bawah  ri,turun  bi,salahkan  turun,jadi  penghasilan,menengah</t>
  </si>
  <si>
    <t>berkutik,di  harun,dpr  tak,berkutik  banyak,kalangan  di,hadapan  refly,harun  ikn,baru  proyek,ikn  hadapan,jokowi  dpr,tak</t>
  </si>
  <si>
    <t>usut,tuntas  air,di  kasus,pemindahan  bandara,malinau  kemenhub,usut  anggota,dpr  desak,kemenhub  pesawat,susi  tuntas,kasus  dpr,desak</t>
  </si>
  <si>
    <t>ri,yaitu  nomor,7  review,ke  uu,pemilu  judicial,review  presidential,threshold  tamsil,linrung  2017,thread  mengajukan,gugatan  amp,edwin</t>
  </si>
  <si>
    <t>diminum,anak  sedih,penegakan  menunggu,air  penegakan,hukum  kok,menjadi  mendidih,untuk  menjadi,sedih  bini,saya  jadi,mendidih  air,jadi</t>
  </si>
  <si>
    <t>oleh,salim  nasution,disinggung  terang,terangan  dan,bobby  bobby,nasution  disinggung,oleh  terangan,gibran  jokowi,kkn  kkn,terang  gibran,dan</t>
  </si>
  <si>
    <t>nol,persen  salam,nol  refrizalskb,salam  republik,indonesia  belum,usai  menegakkan,demokrasi  presidential,threshold  persen,mahkamah  partai,politik  lewat,changeorg_id</t>
  </si>
  <si>
    <t>mk,agar  lieus,sungkharisma  nol,persen  maju,ke  presidential,threshold  pasal,222  ke,mk  threshold,nol  sungkharisma,pasal  bertentangan,dengan</t>
  </si>
  <si>
    <t>rakyat,nya  matanajwa,yang  hukum,harus  membodohi,rakyat  keadilan,bagi  cuman,untuk  cerdas,dan  ngasih,nya  nya,sedikit  tvonenews,penguasa</t>
  </si>
  <si>
    <t>akademik,dan  ambang,batas  badrun,yg  mahasiswa,civitas  untuk,bupati  darma,pt  integritas,moral  utk,gubernur  jika,mahasiswa  bagian,dari</t>
  </si>
  <si>
    <t>buzzerp,buzzerp  yg,tdk  nol,persen  salam,nol  gubernur,lah  presidential,treshold  pala,anjing  partai,ini  tetap,fokus  autis,klitoris</t>
  </si>
  <si>
    <t>salam,dp  mdy_asmara1701,junjungan  dp,nol  dan,penjilatnya  ber,bachot  junjungan,dan  bachot,lont3  emperan,ngoaahahahaaaaasu  ngoaahahahaaaaasu,salam  sama,saja</t>
  </si>
  <si>
    <t>proses,pemilu  amanah,melalui  threshold,adalah  presidential,threshold  yang,jujur  pemimpin,amanah  free,fair  hambatan,utama  ambang,batas  jujur,dan</t>
  </si>
  <si>
    <t>adil,dan  bangkit,indonesia  0,untuk  kuat,#gugatpresidentialthreshold  makmur,#salamnolpersen  oligarki,cukup  oligarki,yuk  dan,makmur  #gugatpresidentialthreshold,#hapuspt20persen  cukup,dengan</t>
  </si>
  <si>
    <t>nol,persen  salam,nol  pt20,salam  jumawa,dan  hrs,berkoalisi  yg,dpt  agar,muncul  pksejahtera,hnurwahid  officialmkri,bismillah  sendiri,tanpa</t>
  </si>
  <si>
    <t>tahapan,pemilu  bbrp,hal  mensukseskan,berbagai  jdwl,pemilu  hal,yg  2024,sdh  kpu,bawaslu  bawaslu,hrs  hrs,sgr  ayat,6</t>
  </si>
  <si>
    <t>nol,persen  salam,nol  negeri,ini  beramai,ramai  bergerak,spt  masyarakat,menyelamatkan  fahiraidris,dpdridkijakarta  yanharahap,rakyat  ikut,beramai  memang,pilihan</t>
  </si>
  <si>
    <t>#peoplepower,#salamnolpersen  wong,iki  mesti,ngunu  oposisicerdas,mesti  elek,#peoplepower  iki,cangkem  cangkem,elek  ngunu,wong</t>
  </si>
  <si>
    <t>salam,nol  nol,persen  persen,2024  kang,ubed  yg,bikin  partai,yang  pindah,ibu  tanpa,ada  cadas,petarung  timur,yg</t>
  </si>
  <si>
    <t>saja,deh  pt,nol  salam,pt  persen,saja  geiszchalifah,salam  salam,nol  democrazymedia,salam  persen,bang  zulkhairylw89,geiszchalifah  #salam,nol</t>
  </si>
  <si>
    <t>refrizalskb,salam  republik,indonesia  belum,usai  menegakkan,demokrasi  presidential,threshold  persen,mahkamah  partai,politik  lewat,changeorg_id  threshold,nol  hak,pilih</t>
  </si>
  <si>
    <t>pt20,salam  jumawa,dan  hrs,berkoalisi  yg,dpt  agar,muncul  pksejahtera,hnurwahid  officialmkri,bismillah  sendiri,tanpa  fahiraidris,tifsembiring  bukan,boneka</t>
  </si>
  <si>
    <t>hapus,salam  harus,di  fahiraidris,salam  jadi,benar  sistem,pt  di,hapus  benar,sistem  geloraco,jadi  ini,harus  pt,ini</t>
  </si>
  <si>
    <t>negeri,ini  beramai,ramai  bergerak,spt  masyarakat,menyelamatkan  fahiraidris,dpdridkijakarta  yanharahap,rakyat  ikut,beramai  memang,pilihan  oppositesurau,knpiharis  ini,seperti</t>
  </si>
  <si>
    <t>kang,ubed  persen,2024  salam,nol  nol,persen  pindah,ibu  tanpa,ada  ibu,kota  partai,negara  ubed,bukan  yg,bikin</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</si>
  <si>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</si>
  <si>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</si>
  <si>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</si>
  <si>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</si>
  <si>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</si>
  <si>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</si>
  <si>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</si>
  <si>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</si>
  <si>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</si>
  <si>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</si>
  <si>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</si>
  <si>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</si>
  <si>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nol lu salam persen ya partai hendri78chniago koma kaya suara</t>
  </si>
  <si>
    <t>Workbook Settings 29</t>
  </si>
  <si>
    <t xml:space="preserve"> fudge buronan penuh marah marah meleset asap fundamentalisme funky lucu lucu marah marah kehebohan rewel fustigate fusty sia-sia sia-sia sia-sia kesia-siaan penyangkal empedu menyakitkan hati galls gangster gape sampah norak terkesiap gauche mencolok gawk janggal kakek tua genosida menjadi kaya ghastly ghetto ghosting omong kosong omong kosong gimmick silau mencolok kesalahan dengan sombong kesuraman murung kekenyangan menggerogoti goad goading tuhan-mengerikan konyol goofy goon gosip tanpa ampun tanpa ampun mencangkok parutan grapple kisi-kisi sangat berminyak keserakahan rakus duka keluhan keluhan berduka berduka cita pedih pedih meringis muram menggiling keluhan mengerikan berpasir kotor sangat mengerikan penggerutu penggerutu tak berdasar geraman dendam dendam dendam dendam enggan mengerikan mengerikan kasar penggerutu pemarah pemarah pemarah tipu muslihat rasa bersalah bersalah bersalah mudah tertipu talang nyali hack hacks kuyu tawar menawar rambut rontok setengah hati setengah hati halusinasi halusinasi menghambat terhambat cacat gantung hang serampangan harangue harass dilecehkan pelecehan pelecehan harassment pelabuhan pelabuhan keras terpukul garis keras garis keras hardball mengeras keras keras kepala keras hati garis keras garis keras kesulitan kesulitan dirugikan merugikan merugikan keras kasar kerumitan diganggu kerepotan tergesa-gesa tergesa-gesa benci benci penuh kebencian kebencian pembenci benci membenci kebencian angkuh menghantui malapetaka hawkish rusak parah bahaya berbahaya kabut kabur sakit kepala sakit kepala sakit kepala patah hati yang memilukan tak berperasaan kafir yang bertangan berat yang berat hati heck heckle heckled heckles hektik lindung nilai hedonistik lalai hegemonisme besar dan kuat hegemoni hegemoni keji neraka neraka bengkok neraka tak berdaya tak berdaya ketidakberdayaan sesat sesat ragu-ragu mengerikan mengerikan mengerikan harga tinggi lucu menghalangi halangan mendesis mendesis menimbun hoax pincang putus asa putus asa keputusasaan gerombolan menghebohkan sangat mengerikan mengerikan mengerikan mengerikan mengerikan mengerikan mengerikan mengerikan mengerikan sandera permusuhan permusuhan sarang permusuhan pemarah pemarah rumah kaca keangkuhan tukang jualan senandung lembab mempermalukan penghinaan yang memalukan bersenandung digantung terluka terluka menyakitkan menyakiti menyakitkan penipu hype kemunafikan kemunafikan munafik histeris kebodohan idiot menganggur tercela ketidaktahuan bodoh abaikan nasihat buruk yang dipahami buruk tidak jelas definisi buruk dirancang bernasib buruk tidak disukai bentuk buruk tidak sopan tidak baik hati buruk disortir buruk marah diperlakukan buruk perlakuan buruk penggunaan buruk digunakan ilegal ilegal tidak sah haram buta huruf penyakit tidak logis tidak logis ilusi tidak logis ilusi ilusi ketidakseimbangan imajiner bodoh tidak berwujud, belum matang, segera akan segera diimobilisasi, tidak moderat, tidak sopan, tidak sopan, amoral, tidak bermoral, kerusakan, kebuntuan, ketidaksabaran, tidak sabar, tidak sabar, impeach, impedansi, menghalangi, halangan, akan segera terjadi, tidak sempurna, tidak sempurna, ketidaksempurnaan, tidak sempurna, imperialis, sangat angkuh, sangat tidak diperbolehkan, impersonal, kurang sabar, terburu-buru, ketidaksopanan, melanggar, tidak beriman, tidak dapat diterima, tidak masuk akal, sangat tidak masuk akal, tidak masuk akal, impplikasi implo de tidak sopan tidak sopan tidak sopan mendesak pemaksa yang penting memaksakan pemaksaan yang tidak mungkin kemustahilan yang mungkin tidak berdaya yang miskin yang miskin yang tidak praktis yang tidak tepat yang tidak tepat yang tidak tepat yang dipenjarakan penjara yang tidak mungkin yang tidak mungkin yang tidak pantas yang tidak pantas yang tidak pantas yang tidak bijaksana yang kurang hati-hati yang kurang ajar yang kurang ajar yang kurang ajar yang impulsif yang impulsif yang impunitas yang tidak murni yang pengotor ketidakmampuan yang tidak akurat yang tidak akurat yang tidak akurat yang tidak akurat yang tidak bertindak tidak aktif dalam kecukupan tidak memadai tidak memadai tidak disengaja tidak disengaja tidak disarankan tidak bijaksana sangat tidak pantas tidak tepat tidak tepat ketidakmampuan tidak mengartikulasikan kurang perhatian tidak terdengar tidak mampu tidak mampu tidak berhati-hati pembakar dupa terus-menerus terus-menerus menghasut hasutan ketidaksopanan buruk tidak sadar ketidaksesuaian tidak koheren tidak koheren tidak dapat dibandingkan tidak dapat dibandingkan ketidakcocokan ketidakkompetenan tidak kompeten tidak lengkap tidak sesuai tidak dapat dipahami tidak dapat dipahami tidak terbayangkan sangat tidak selaras sangat tidak penting tidak penting tidak penting tidak penting tidak pengertian tidak pengertian ketidakkonsistenan inkonsistensi inkonsistensi inkonsisten tidak dapat dihibur, tidak dapat dihibur, ketidaknyamanan yang tidak konstan, tidak menyenangkan, salah, tidak dapat diperbaiki, tidak dapat diperbaiki, tidak dapat dipercaya, tidak dapat dipercaya, menanamkan ketidaksenonohan, tidak senonoh, tidak senonoh, ragu-ragu, ragu-ragu, tidak sopan, tidak dapat dipertahankan, tidak dapat ditentukan, tidak dapat ditentukan, tidak dapat ditentukan, acuh tak acuh, acuh tak acuh, marah, marah, marah, tidak dapat dibedakan, tidak bijaksana tidak bijaksana, tidak bijaksana, tidak membeda-bedakan, tidak membeda-bedakan, tidak membeda-bedakan, tidak dapat dibedakan, indoktrinasi, indoktrinasi, malas menuruti, tidak efektif ketidakefisienan inefisiensi tidak efisien ketidakefisienan keangkuhan tidak memenuhi syarat tidak fasih tidak fasih ketidakmampuan tidak kompeten ketidaksetaraan ketidaksetaraan tidak adil ketidaksetaraan tidak dapat dihindari tidak dapat dihindari tidak penting tak terhindarkan tak terelakkan tak termaafkan tak bisa dimaafkan tak terelakkan tak terelakkan tak berpengalaman tak ahli tak ahli tak bisa dijelaskan tak bisa dijelaskan tak bisa dipisahkan tak bisa dipisahkan tak terkenal sangat terke</t>
  </si>
  <si>
    <t>nal keburukan infeksi infeksi infeksi inferioritas inferior infernal infernal infernal infidel infidels infiltrator penyusup lemah mengobarkan peradangan inflamasi meradang inflasi yang tidak fleksibel menimbulkan pelanggaran pelanggaran pelanggaran pelanggaran pelanggaran kemarahan kemarahan kemarahan kemarahan kemarahan kemarahan rasa tidak tahu berterima kasih rasa tidak berterima kasih menghambat penghambatan ketidakramahan ketidakmanusiawian ketidakmanusiawian kejahatan kedurhakaan yang tidak bijaksana melukai cedera yang merugikan ketidakadilan ketidakadilan sindiran tidak bisa dioperasi tidak tepat sangat tidak masuk akal gila gila-gilaan kegilaan tak terpuaskan rasa tidak aman ketidakamanan tidak peka tidak peka tidak peka ketidakpekaan berbahaya secara diam-diam tidak penting tidak signifikan tidak signifikan tidak tulus tidak tulus ketidaktulusan menyindir sindiran menyindir kurang ajar kurang ajar kurang ajar bangkrut ketidakcukupan ketidakstabilan ketidakstabilan penghasut penghasut pembangkangan tidak substansial tidak substansial tidak dapat ditoleransi memabukkan keras kepala keras kepala keras kepala mengganggu intrusi intrusif menggenangi membanjiri penyerbu tidak valid membatalkan ketidakabsahan makian invasif inveigle invidious invidiousness tak terlihat tanpa disengaja tidak disengaja mudah marah marah marah marah menjengkelkan menjengkelkan menjengkelkan menjengkelkan menjengkelkan menjengkelkan menjengkelkan ironis ironis ironi ironi ketidakteraturan irasional al irasionalitas irasionalitas irasional irasional yang tidak dapat didamaikan yang tidak dapat dipulihkan yang tidak dapat dipulihkan yang tidak dapat dipulihkan kembali Tidak dapat ditendang tidak dapat diperbaiki Tidak dapat diperbaiki Tidak dapat reformasi Tidak dapat diperbaiki Tidak dapat diperbaiki Tidak dapat diperbaiki tidak dapat diperbaiki tidak dapat diperbaiki tidak dapat diperbaiki tidak dapat diperbaiki tidak dapat diselesaikan tidak bertanggung jawab tidak bertanggung jawab yang tidak dapat disritasi iritasi yang tidak dapat diarahkan pada jaman yang tidak dapat diirit iritasi iritasi iritasi yang diisolasi diisitasi diisolasi isolasi yang diisolasi dengan iritasi iritasi yang diisolasi diisitasi diilitasi diisolasi diisitasi diilitasi iritasi yang diisolasi diisolasi isolasi yang diisolasi dengan iritasi yang diisolasi diisitasi diisolasi diisitasi diisolasi diilitasi diilritasi diilritasi diilritasi isritasi yang diisolasi dengan iritasi yang diisolasi diisitasi diisolasi diilitasi diilritasi diilritasi diilritasi diilritasi diilritasi cemburu kecemburuan kecemburuan jeer jeer jeering dengan jeers membahayakan jeopardy brengsek dendeng jitter kegelisahan gelisah pembunuhan pekerjaan lelucon pengangguran joker sentakan judder juddering judders gelisah sampah rongsokan tempat barang rongsokan jutters kaput membunuh terbunuh pembunuh membunuh killjoy membunuh knave pisau ketukan diikat kook kooky kekurangan lesu kekurangan antek antek kurang bersemangat kekurangan lag singkat tertinggal tertinggal tertinggal tertinggal tertinggal diberhentikan lambast lambaste lumpuh timpang-bebek ratapan menyedihkan lesu lesu lesu lesu lesu kurus selangkan murka penyimpangan mesum latensi terakhir menggelikan menggelikan bahan tertawaan pelanggar hukum pelanggaran hukum pelanggaran hukum PHK-senang malas kebocoran kebocoran kebocoran bocor kebocoran bocor lech lecher bejat bejat lintah leer curiga kiri- condong lemon panjang kurang berkembang kurang dikenal letch mematikan lesu kelesuan cabul cabul pertanggungjawaban pembohong bertanggung jawab pembohong tidak bermoral tidak bermoral berbohong berbohong lier kebohongan mengancam jiwa tak bernyawa batas batasan batasan terbatas batas lemas lesu tidak sadar hukum sedikit diketahui marah marah benci benci kebencian menjijikkan menjijikkan menjijikkan sendirian kesepian kesepian penyendiri kesepian lama bertele-tele kerinduan celah celah rindu jarahan longgar lorn kalah pecundang pecundang kalah kehilangan kehilangan kerugian hilang keras keras buruk tanpa cinta cinta mabuk peringkat rendah sangat menggelikan menggelikan lugubrious suam-suam kuku jeda kental orang gila kegilaan lurch lure seram mengintai mengintai berbaring mengerikan gila menjengkelkan menjengkelkan sangat marah gila orang gila kegilaan tidak bisa menyesuaikan diri maladjustment penyakit malaise tidak puas tidak puas kejahatan jahat jahat jahat jahat jahat jahat kejahatan memfitnah ganas berbau busuk penganiayaan mangle mangle mangles mangling mania maniak manic memanipulasi manipulasi manipulator manipulatif mar marginal martir kemartiran mencari pembantaian tumbuk pembantaian matte mawkish mawkishly mawkishness sedikit tak berarti kekejaman sangat sedikit campur tangan usil biasa-biasa saja biasa-biasa saja melankolis melodramatis kehancuran melodramatis ancaman mengancam sangat berbohong kebohongan rendahan tanpa belas kasihan kekacauan kacau kekacauan mengacau berantakan cebol miff militansi tanpa berpikir panjang mirage misaligned misaligns misapprehend misbecoming misbegotten misbehave misbehavior salah perhitungan salah hitung aneka kenakalan nakal nakal salah paham miskonsepsi penjahat nakal penyesatan kikir sengsara kesengsaraan sengsara kesengsaraan kikir kesengsaraan ketidaksesuaian kemalangan was-was was-was misguidance sesat mishandle mishap misinformasi salah tafsir salah tafsir salah menilai misjudgment misleading misleadingly mislike mismanage mispronounce mispronounced mispronounces misreading misrepresentation misrepresentation miss miss misses misstatement kabut kesalahan keliru kesalahan kesalahan mistified nyonya ketidakpercayaan ketidakpercayaan ketidakpercayaan kabut salah paham kesalahpahaman kesalahpahaman salah paham penyalahgunaan erangan mafia mengejek ejekan ejekan mengejek mengejek penganiayaan menganiaya monoton monoton monster monstrositas keburukan mengerikan mengerikan murung diperdebatkan mope tidak sehat mordant mordan hampir mati tolol tolol tolol mortified mor</t>
  </si>
  <si>
    <t>tify malu malu tak bergerak beraneka ragam pelayat sedih sedih muddle muddy mudslinger lumpur selempang mulish multi-polarisasi pembunuhan duniawi pembunuh pembunuh mematikan keruh otot-melenturkan lembek apak misterius misteri membingungkan mitos cerewet nag mengomel naif naif sempit menjijikkan jahat nakal mual memuakkan memuakkan naif samar-samar samar-samar tak perlu tak berguna jahat jahat meniadakan negasi negatif negatif negatif pengabaian diabaikan kelalaian lalai musuh bebuyutan nepotisme gugup gugup kegugupan jelatang menjijikan neurotik niggle niggles neurotik mimpi buruk mimpi buruk mimpi buruk nitpick nitpicking kebisingan suara berisik berisik tidak percaya diri tidak ada tidak responsif omong kosong usil ketenaran terkenal terkenal sangat berbahaya gangguan mati rasa kegemukan obyek keberatan keberatan keberatan miring melenyapkan terlupakan menjengkelkan menjengkelkan cabul cabul cabul tidak jelas dikaburkan mengaburkan ketidakjelasan obsesi obsesif obsesif obsesif usang hambatan keras kepala keras kepala menghalangi terhambat menghalangi obstruksi menghalangi menonjol tumpul menutup tertutup menutup menutup ganjil ganjil paling ganjil keanehannya baunya aneh pelanggaran menyinggung pelanggar pelanggaran pelanggaran ofensif ofensif ofensif yang berbahaya yang tidak menyenangkan yang tidak menyenangkan kelalaian hilangkan serangan sepihak yang berat dan gencar lawan yang beropini oportunistik menentang oposisi oposisi menindas menindas menindas menindas penindas penindas cobaan yatim piatu dikucilkan wabah ledakan ledakan orang buangan teriakan pelanggar hukum ketinggalan zaman keterlaluan keterlaluan keterlaluan keterlaluan kebiadaban orang luar berlebihan- bertindak terlalu kagum terlalu seimbang terlalu berlebihan terlalu mahal harga yang berlebihan penilaian berlebihan bertindak berlebihan terlalu kagum terlalu seimbang terlalu seimbang sombong terlalu berlebihan terlalu berlebihan terlambat terlalu menekankan terlalu panas terlalu banyak membunuh kelebihan beban mengabaikan lebih dibayar lebih membayar terlalu banyak terlalu kuat terlalu mahal terlalu mahal terlalu banyak menjangkau terlalu banyak membayangi pengawasan terlalu menyederhanakan terlalu menyederhanakan terlalu menyederhanakan terlalu besar menyatakan terlalu berlebihan menyatakan berlebihan pernyataan berlebihan berlebihan pajak yang berlebihan penggulingan penggulingan kelebihan berat badan yang kewalahan kewalahan luar biasa luar biasa kewalahan terlalu bersemangat terlalu bersemangat rasa sakit yang menyakitkan menyakitkan menyakitkan menyakitkan pucat artinya remeh pan pandemonium pander pandering panders panik panik panik panik panik paradoks paradoks melumpuhkan paranoia paranoia paranoid parasit paria parodi keberpihakan partisan partisan passe pasif pasif menyedihkan menyedihkan menggurui kekurangan orang miskin orang miskin pengembalian yang aneh khusus yang bertele-tele kupas mengesalkan kesal kekesalan menghukum penalti durhaka durhaka ala kadarnya bahaya berbahaya binasa berbahaya binasa bingung bingung membingungkan membingungkan menganiaya penganiayaan gigih terus-menerus pertinacity perturb pervasif sesat sesat sesat sesat sesat sesat pesimisme pesimistis pes secara simistis hama sampar membatu pettifog yang membatu fobia kecil fobia piket palsu piket piket piket pilih-pilih babi babi penjarahan mengumumkan kekurangan jerawat sejumput pique menyedihkan menyedihkan tanpa belas kasihan tanpa belas kasihan sedikit kasihan menjiplak wabah mainan plastik permohonan permohonan penderitaan kampungan komplotan plot taktik penjarahan penjarah sia-sia racun beracun beracun pokey poky polarisasi polemisasi mencemari polusi polusi sombong miskin miskin miskin termiskin postur buruk cemberut kemiskinan tak berdaya prate pratfall mengoceh genting genting predicament prejudicial prejudicial prasangka prasangka prasangka prasangka keasyikan preokupasi tidak masuk akal tidak masuk akal lancang lancang berpura-pura berpura-pura sok sok membelokkan mahal pricier tusukan duri duri sombong prik primitif tahanan penjara masalah masalah masalah menunda-nunda menunda-nunda stinasi tidak senonoh kata-kata kotor melarang sangat melarang propaganda mempropagandakan hak milik menuntut protes memprotes memprotes protes berlarut-larut provokasi provokatif memprovokasi membongkar garang garang garang pukulan menghukum dapat dihukum punk punk boneka boneka kecil bingung bingung membingungkan quack qualm keraguan pertengkaran pertengkaran bertengkar pertengkaran pertengkaran yang suka bertengkar quash queer dipertanyakan berdalih mudah menyerah rasisme fanatik rasis rasis radikal radikal radikal radikal radikal kemarahan compang-camping mengamuk rel menyapu mengamuk merajalela bobrok dendam secara acak kata-kata kasar mengomel mengomel kata-kata kasar pemerkosaan diperkosa memperkosa bajingan ruam rattle rattle rattles merusak mengoceh reaksioner memberontak penolakan teguran bandel menarik kembali resesi resesi sembrono sembrono kecerobohan recoil recourses redundansi mubazir penolakan menolak menolak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menegur dengan menegur menolak penolakan rasa jijik menjijikkan menjijikkan menjijikkan menjijikkan menjijikkan menjijikkan menjijikkan menjijikkan kebencian kebencian pengunduran diri pengunduran diri perlawanan gelisah kegelisahan membatasi pembatasan terbatas bangkit kembali pembalasan dendam terbelakang keterbelakangan keterbelakangan terbelakang mundur mundur mundur balas dendam penuh dendam penuh balas den</t>
  </si>
  <si>
    <t xml:space="preserve">dam kembali mencaci-maki mencerca mencabut pemberontakan memberontak memberontak menjijikkan revulsif rhapsodize retorika retorika ricer ejekan ejekan konyol konyol marak keretakan keretakan perpecahan kaku kekakuan kekakuan gusar rip rip-off ripoff robek risiko risiko berisiko penghalang jalan persaingan saingan berbatu rogue rollercoaster busuk busuk kasar sampah yang dapat diperbaiki kasar rue ruffian ruffle kehancuran hancur kehancuran kehancuran reruntuhan rumor rumor rumor rumple run-down pelarian pecah karat karat berkarat kebiasaan kejam kejam kekejaman karung sabotase karung dikorbankan sedih sedih sedih kesedihan melorot kendur kendor sags cabul getah sok sarkasme sarkastik sarkastik sinis sinis sass satir menyindir biadab biadab kebiadaban biadab penipuan bersisik penipuan skandal skandal skandal skandal skandal scandel scandels sedikit kambing hitam bekas luka langka hampir kelangkaan menakut-nakuti takut menakutkan paling menakutkan menakutkan bekas luka bekas luka menakutkan pedas pedas skeptis mencemooh mencemooh dimarahi memarahi memarahi terik terik mencemooh mencemooh bajingan mencemooh momok cemberut berebut berebut berebut memo tergores goresan tergores jeritan gatal memekik kacau kacau kacau scuff scuffs scuffs scuffs sampah kelas dua rahasia menetap kumuh mendidih mendidih kudeta diri kritik diri merugikan diri sendiri merusak diri sendiri penghinaan diri kepentingan kepentingan diri sendiri melayani diri sendiri mementingkan diri sendiri, egois, egois, egois, setengah terbelakang, pikun, sensasional, tidak masuk akal, tidak masuk akal, keseriusan, berkhotbah, penghambaan, set-up, kemunduran, kemunduran, memutuskan keparahan yang parah, sh * t, lusuh, bayangan, goyang teduh, goyah dangkal, kepalsuan, berantakan, malu, memalukan, sangat memalukan, tidak tahu malu, tidak tahu malu, tidak tahu malu, hiu, dengan tajam menghancurkan shemale shimmer, shimmy, kapal karam, syirik, shirker, kotoran menggigil shock kaget mengejutkan mengejutkan jelek kekurangan jangka pendek kekurangan kekurangan kekurangan kepicikan rabun jauh kepicikan showdown cerdik pekik melengking melengking kain kafan terselubung mengangkat bahu menghindar dari sakit memuakkan penyakit sakit-sakitan yang memuakkan penyakit sidetrack teralihkan pengepungan konyol konyol sederhana sederhana dosa penuh dosa jahat sinis tenggelam kerangka tenggelam skeptis skeptis skeptisisme samar minim kurus gelisah gelisah diam diam kendur fitnah memfitnah memfitnah tamparan menebas pembantaian budak budak yang dibantai lendir kotor kerja keras kerja keras kerja keras kerja keras kerja keras slooooooooooooooow slooow slooow lambat ceroboh kemalasan kemalasan lambat bergerak lambat melambat lebih lambat paling lambat lambat lambat lambatwww lambat kemerosotan lamban merosot merosot cercaan pelacur pelacur sly smack bertubuh kecil smash smear bau berbau berbau bau bau berbau asap tabir asap membara membara membara membara noda membara noda noda noda sombong sombong smuttier smuttiest smutty halangan tersangkut halangan tersangkut snappish snappishly jerat snarky snarl diam-diam licik mencibir mencibir mencibir sombong sombong ish sombong sombong sombong snub so-cal sabun sob sadar serius perhatian muram sakit sangat kesakitan kesedihan sedih sedih maaf asam sekop asam tamparan menghabiskan memuntahkan memuntahkan memuntahkan memuntahkan perawan tua yang tidak bersemangat meskipun dengki dengki memerciki perpecahan membelah kerusakan pembusukan pembusukan manja rampasan yang rusak hantu seram seram sendok seram seram -makan sendok-makan disendok sporadis jerawatan palsu spurn sputter pertengkaran pertengkaran menyia-nyiakan squash squeak squeaks squeaky squeal squealing squeals menggeliat tikaman stagnan stagnasi stagnasi staid noda noda basi jalan buntu kios kios terbata-bata menyerbu terhenti sangat mengejutkan mengejutkan mengejutkan kelaparan kelaparan statis mencuri mencuri curam curam bau busuk stereotip stereotip stereotip keras rebusan kaku kaku kekakuan mencekik menyesakkan stigma menstigmatisasi menyengat menyengat pelit bau bau kolot dicuri antek antek badai tersesat straggler strain tegang tegang aneh asing aneh aneh tercekik bergaris-garis stres berat menekankan stres dilanda stres ketat ketat melengking perselisihan menyerang dengan keras terpukul perjuangan berjuang perjuangan berjuang penyangga keras kepala keras kepala terjebak pengap tersandung tersandung tunggul tunggul tunggul setrum aksi kerdil bodoh terbodoh kebodohan terbodoh bodoh bodoh pingsan gagap gagap gagap gagap sty terhalang sub-par tenang tunduk tunduk tunduk menundukkan penaklukan submisif panggilan pengadilan bawahan panggilan pengadilan kepatuhan tunduk di bawah standar kurangi subversi subversif secara subversif menumbangkan mengalah menghisap menghisap pengisap menyebalkan menghisap menghisap menuntut menggugat menggugat menderita menderita penderita penderita menderita tercekik lapisan gula dilapisi gula bunuh diri bunuh diri merajuk cemberut sully sunder tenggelam dangkal kedangkalan dangkal takhayul takhayul menekan penindasan menyerah rentan tersangka kecurigaan kecurigaan curiga mencurigakan angkuh kebanjiran berkeringat membengkak pembengkakan penipuan menggesek gejala gejala bengkak sindroma tabu norak tercemar tamper kusut kusut kusut tangki tank mabuk tantrum terlambat ternoda noda ternoda compang-camping ejekan mengejek mengejek mengejek kencang norak pajak menggoda menggoda membosankan membosankan membosankan temperity temper prahara godaan kelembutan tegang ketegangan tentatif renggang lemah hangat mengerikan kengerian sangat teror teror terorisme genik meneror testy testy tetchily rewel tanpa pamrih rasa haus yang lebih tebal berduri tanpa berpikir tanpa berpikir kesembronoan ancaman thrash ancaman ancaman ancaman threesome berdenyut berdenyut berdenyut throttle thug jempol ke bawah jempol ke bawah menggagalkan waktu- memakan rasa takut rasa malu takut takut kesemutan kecil kesemutan lelah melelahkan melelahkan kerja keras </t>
  </si>
  <si>
    <t>tol tol top-heavy menjatuhkan siksaan tersiksa torrent penyiksaan yang berliku-liku penyiksaan yang menyiksa menyiksa menyiksa totaliter yang sensitif ketangguhan yang disebut-sebut calo beracun perdagangan tragedi tragis tragis pengkhianat pengkhianat menginjak-injak pelanggaran pelanggaran perangkap terjebak sampah terjebak sampah sampah trauma traumatis trauma traumatis trauma parodi parodi berbahaya pengkhianatan pengkhianatan tipu muslihat tipu muslihat rumit meremehkan meremehkan masalah bermasalah pembuat onar masalah merepotkan menyusahkan meresahkan membolos tumbang jatuh tumbang gejolak gejolak gejolak gejolak yang berliku-liku yang bermuka dua bermuka dua yang bermuka dua yang zalim yang zalim yang tirani tiran ugh jelek paling jelek keburukan jelek ultimatum tersembunyi ultra-garis keras tidak dapat dilihat tidak dapat diterima tidak dapat diterima tidak dapat diakses tidak terbiasa tidak dapat diraih tidak terjangkau tidak menarik tidak menarik tidak autentik tidak tersedia tidak dapat dihindari tak tertahankan tak dapat dipercaya luar biasa tidak peduli tidak pasti tidak beradab tidak beradab najis tidak jelas tidak tertagih tidak nyaman tidak nyaman tidak kompetitif tidak kompromi tanpa kompromi tanpa konfirmasi inkonstitusional, tidak terkendali, tidak meyakinkan, tidak meyakinkan, tidak kooperatif kasar tidak kreatif ragu-ragu tidak ditentukan ketidaktergantungan undercut yang tidak dapat diandalkan undercut undercutting underdog meremehkan bawahan meremehkan meremehkan meremehkan meremehkan dibayar rendah kurang bertenaga tidak diinginkan belum ditentukan undid tidak bermartabat tidak terlarut tidak terdokumentasi dibatalkan tidak semestinya kegelisahan gelisah tidak ekonomis pengangguran tidak setara tidak etis tidak rata lancar tak terduga tak terduga tak terduga tidak bisa dijelaskan tidak adil tidak setia tidak setia tidak dikenal tidak menguntungkan un merasa belum selesai, tidak layak, tak terduga, tak kenal ampun malang sayangnya tidak berdasar tidak ramah tidak terpenuhi tidak didanai tidak dapat diatur tidak berterima kasih tidak bahagia ketidakbahagiaan tidak bahagia tidak sehat tidak membantu unilateralisme tidak dapat dibayangkan tidak terbayangkan tidak penting tidak mendapat informasi tidak diasuransikan tidak dapat dipahami tidak dapat dipahami unipolar tidak adil tidak dapat dibenarkan tidak dapat dibenarkan tidak dapat dibenarkan tidak baik tidak baik tidak diketahui tidak dapat disesali melanggar hukum melanggar hukum melepaskan tidak berlisensi tidak mungkin sial tidak tergerak tidak wajar un tentu saja tidak perlu, tidak dibutuhkan, membuat bingung, gugup, mengerikan, tidak diperhatikan, tidak teramati tidak ortodoks tidak ortodoksi ketidaknyamanan yang tidak menyenangkan tidak populer tidak dapat diprediksi tidak siap tidak produktif tidak menguntungkan tidak terbukti tidak terbukti tidak terbukti tidak terbukti tidak terbukti tidak memenuhi syarat penguraian terurai tidak dapat dijangkau tidak dapat dibaca tidak realistis tidak masuk akal tidak masuk akal tidak henti-hentinya tidak dapat diandalkan terselesaikan tidak responsif keresahan sulit diatur tidak aman tidak memuaskan tidak sedap tidak bermoral tidak bermoral tidak aman tidak pantas tidak pantas menetap gelisah meresahkan tidak terampil tidak canggih tidak sehat tak terucapkan tak terkatakan tak terspesifikasi tak stabil goyah ketidakstabilan goyah tidak berhasil tidak berhasil tidak didukung tidak mendukung tidak yakin tidak curiga tidak berkelanjutan tidak dapat dipertahankan belum teruji tidak terpikirkan terlalu dini tidak tersentuh tidak benar tidak dapat dipercaya tidak benar tidak dapat digunakan tidak biasa luar biasa tidak dapat dilihat tidak diinginkan tidak beralasan tidak dapat ditonton tidak diinginkan tidak baik sulit digunakan tidak mau tidak bersedia tidak bijaksana tidak bijaksana tidak dapat dilaksanakan tidak layak tidak menyerah pantang menyerah pergolakan pemberontakan keributan keributan gempar sangat heboh dengan heboh mencabut kekesalan yang membuat kesal menjengkelkan sangat mendesak tidak berguna perampas perampas benar-benar gelandangan samar-samar ketidakjelasan sia-sia kesombongan keras balas dendam dendam dendam dendam dendam racun berbisa berbisa melampiaskan sisa-sisa kekesalan menjengkelkan menjengkelkan bergetar bergetar bergetar bergetar getaran wakil setan keji kekejaman korban keji menjelekkan jahat jahat penjahat penjahat jahat jahat jahat vin diktif dengan penuh dendam dendam melanggar pelanggaran pelanggar kekerasan kekerasan ular beludak virulensi mematikan ganas virus riuh riuh volatil volatilitas muntahan muntah muntah vulgar rentan berkurang nakal nakal seperti perang waspada kewaspadaan suka berperang diperingatkan peringatan warp warp waspada dicuci limbah terbuang boros pemborosan membuang air encer bandel lemah melemah melemah lemah kelemahan kelemahan lelah melelahkan baji ganja menangis aneh aneh memprofokasi profokator merengek merengek cengeng cambuk pelacur pelacur jahat jahat kejahatan liar tipu muslihat layu cerdik lemah meringis goyangan terhuyung-huyung goyangan celaka menyedihkan menyedihkan penggoda wanita main perempuan usang khawatir khawatir khawatir kekhawatiran mengkhawatirkan mengkhawatirkan mengkhawatirkan lebih buruk memburuk memburuk terburuk tak berharga tak berharga luka luka pertengkaran murka melampiaskan melampiaskan kecelakaan pergulatan bergulat celaka celaka celaka kerut keriput keriput terbungkus salah salah salah tempa menguap tersengat fanatik bersemangat zombie
tolak no kontra benci tidak sepakat tidak tidak boleh▓AddVertexContent░False▓AddWordList░False&lt;/value&gt;
        &lt;/setting&gt;
        &lt;setting name="OverallMetricsUserSettings" serializeAs="String"&gt;
            &lt;value /&gt;
        &lt;/setting&gt;
        &lt;setting name="TopNByMetricsToCalculate" serializeAs="Xml"&gt;
            &lt;value&gt;
                &lt;ArrayOfTopNByMetricUserSettings xmlns:xsd="http://www.w3.org/2001/XMLSchema"
                    xmlns:xsi="</t>
  </si>
  <si>
    <t xml:space="preserve">http://www.w3.org/2001/XMLSchema-instance" /&gt;
            &lt;/value&gt;
        &lt;/setting&gt;
    &lt;/GraphMetricUserSettings&gt;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t>
  </si>
  <si>
    <t xml:space="preserve">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&lt;value&gt;156, 156&lt;/value&gt;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t>
  </si>
  <si>
    <t>ndowState" serializeAs="String"&gt;
            &lt;value&gt;Normal&lt;/value&gt;
        &lt;/setting&gt;
        &lt;setting name="FormSize" serializeAs="String"&gt;
            &lt;value&gt;211, 128&lt;/value&gt;
        &lt;/setting&gt;
        &lt;setting name="HasBeenSaved" serializeAs="String"&gt;
            &lt;value&gt;True&lt;/value&gt;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&lt;value&gt;C:\Users\M-SI\Documents\project 2023&lt;/value&gt;
        &lt;/setting&gt;
    &lt;/CreateSubgraphImagesDialog3&gt;
    &lt;AutoFillWorkbookDialog5&gt;
        &lt;setting name="FormLocation" serializeAs="String"&gt;
            &lt;value&gt;538, 177&lt;/value&gt;
        &lt;/setting&gt;
        &lt;setting name="FormWindowState" serializeAs="String"&gt;
            &lt;value&gt;Normal&lt;/value&gt;
        &lt;/setting&gt;
        &lt;setting name="TabControlSelectedIndex" serializeAs="String"&gt;
            &lt;value&gt;1&lt;/value&gt;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t>
  </si>
  <si>
    <t xml:space="preserve">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&lt;value&gt;656, 171&lt;/value&gt;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&lt;value&gt;1&lt;/value&gt;
        &lt;/setting&gt;
    &lt;/GeneralUserSettingsDialog5&gt;
    &lt;GraphMetricsDialog6&gt;
        &lt;setting name="FormLocation" serializeAs="String"&gt;
            &lt;value&gt;199, 217&lt;/value&gt;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&lt;/userSettings&gt;
&lt;/configuration&gt;
</t>
  </si>
  <si>
    <t>The graph was laid out using the Fruchterman-Reingold layout algorithm.</t>
  </si>
  <si>
    <t>yg dan tujuannya mahasiswa ini engkau</t>
  </si>
  <si>
    <t>cadas,petarung</t>
  </si>
  <si>
    <t>Vertices[Joined Twitter Date (UTC)]</t>
  </si>
  <si>
    <t>G38</t>
  </si>
  <si>
    <t>G39</t>
  </si>
  <si>
    <t>G40</t>
  </si>
  <si>
    <t>G41</t>
  </si>
  <si>
    <t>reflyhz #salamnolpersen persen semoga nol rh jadi salam</t>
  </si>
  <si>
    <t>#salamnolpersen persen nol indonesia oligarki dan threshold presidential dengan salam</t>
  </si>
  <si>
    <t>msaid_didu,salam</t>
  </si>
  <si>
    <t>ubed,bukan</t>
  </si>
  <si>
    <t>dari,timur</t>
  </si>
  <si>
    <t>salam,nol  nol,nol  nol,persen  koma,nol  suara,partai  partai,lu  nol,koma  kaya,lu</t>
  </si>
  <si>
    <t>sindonews rizkir4madani nyaiibubu bve_kairi odang4z rustrijateng parahyanganpost imronbiz dniupdate terapungkembali</t>
  </si>
  <si>
    <t>Top 10 Vertices, Ranked by Top URLs in Tweet by Count</t>
  </si>
  <si>
    <t>Top 10 Vertices, Ranked by Top URLs in Tweet by Salience</t>
  </si>
  <si>
    <t>Top 10 Vertices, Ranked by Top Domains in Tweet by Count</t>
  </si>
  <si>
    <t>Top 10 Vertices, Ranked by Top Domains in Tweet by Salience</t>
  </si>
  <si>
    <t>Top 10 Vertices, Ranked by Top Hashtags in Tweet by Count</t>
  </si>
  <si>
    <t>Top 10 Vertices, Ranked by Top Hashtags in Tweet by Salience</t>
  </si>
  <si>
    <t>Top 10 Vertices, Ranked by Top Words in Tweet by Count</t>
  </si>
  <si>
    <t>Top 10 Vertices, Ranked by Top Words in Tweet by Salience</t>
  </si>
  <si>
    <t>Top 10 Vertices, Ranked by Top Word Pairs in Tweet by Count</t>
  </si>
  <si>
    <t>Top 10 Vertices, Ranked by Top Word Pairs in Tweet by Salience</t>
  </si>
  <si>
    <t>Top 10 Vertices, Ranked by Sentiment List #1: List1 Word Count</t>
  </si>
  <si>
    <t>Top 10 Vertices, Ranked by Sentiment List #1: List1 Word Percentage (%)</t>
  </si>
  <si>
    <t>Top 10 Vertices, Ranked by Sentiment List #2: List2 Word Count</t>
  </si>
  <si>
    <t>Top 10 Vertices, Ranked by Sentiment List #2: List2 Word Percentage (%)</t>
  </si>
  <si>
    <t>Count of Relationship Date (UTC)</t>
  </si>
  <si>
    <t>&lt;?xml version="1.0" encoding="utf-8"?&gt;
&lt;configuration&gt;
  &lt;configSections&gt;
    &lt;sectionGroup name="userSettings" type="System.Configuration.UserSettingsGroup, System, Version=2.0.0.0, Culture=neutral, PublicKeyToken=b77a5c561934e089"&gt;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name="AutomatedGraphImageUserSettingsDialog2"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name="EdgeCreationUserSettingsDialog"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name="MotifUserSettingsDialog"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name="TopNByMetricUserSettingsDialog" type="System.Configuration.ClientSettingsSection, System, Version=2.0.0.0, Culture=neutral, PublicKeyToken=b77a5c561934e089" allowExeDefinition="MachineToLocalUser" requirePermission="false" /&gt;
      &lt;section name="TopNByMetricUserSettingsListDialog"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name="MergeDuplicateEdgesUserSettingsDialog" type="System.Configuration.ClientSettingsSection, System, Version=2.0.0.0, Culture=neutral, PublicKeyToken=b77a5c561934e089" allowExeDefinition="MachineToLocalUser" requirePermission="false" /&gt;
      &lt;section name="ExportToPowerBIDialog"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name="ColorColumnAutoFillUserSettingsDialog2"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name="EdgeAttributesDialog" type="System.Configuration.ClientSettingsSection, System, Version=2.0.0.0, Culture=neutral, PublicKeyToken=b77a5c561934e089" allowExeDefinition="MachineToLocalUser" requirePermission="false" /&gt;
      &lt;section name="SelectSubgraphsDialog" type="System.Configuration.ClientSettingsSection, System, Version=2.0.0.0, Culture=neutral, PublicKeyToken=b77a5c561934e089" allowExeDefinition="MachineToLocalUser" requirePermission="false" /&gt;
      &lt;section name="VertexGridSnapperUserSettingsDialog"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name="AggregateGraphMetricsDialog" type="</t>
  </si>
  <si>
    <t>System.Configuration.ClientSettingsSection, System, Version=2.0.0.0, Culture=neutral, PublicKeyToken=b77a5c561934e089" allowExeDefinition="MachineToLocalUser" requirePermission="false" /&gt;
      &lt;section name="ClusterUserSettingsDialog"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name="GroupByVertexAttributeDialog" type="System.Configuration.ClientSettingsSection, System, Version=2.0.0.0, Culture=neutral, PublicKeyToken=b77a5c561934e089" allowExeDefinition="MachineToLocalUser" requirePermission="false" /&gt;
      &lt;section name="VertexRadiusDialog"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name="ExportToCSVDialog" type="System.Configuration.ClientSettingsSection,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name="DynamicFilterDialog3"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name="PathUserSettingsDialog"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t>
  </si>
  <si>
    <t>(Entire graph)</t>
  </si>
  <si>
    <t>VertexID</t>
  </si>
  <si>
    <t>gantian</t>
  </si>
  <si>
    <t>anyar</t>
  </si>
  <si>
    <t>sampai</t>
  </si>
  <si>
    <t>sedap</t>
  </si>
  <si>
    <t>ngeri2</t>
  </si>
  <si>
    <t>sam</t>
  </si>
  <si>
    <t>paman</t>
  </si>
  <si>
    <t>statemen</t>
  </si>
  <si>
    <t>lgi</t>
  </si>
  <si>
    <t>ngerinya</t>
  </si>
  <si>
    <t>kokoh</t>
  </si>
  <si>
    <t>posisi</t>
  </si>
  <si>
    <t>konssolidasi</t>
  </si>
  <si>
    <t>nyenyak</t>
  </si>
  <si>
    <t>bakalan</t>
  </si>
  <si>
    <t>kelihatanya</t>
  </si>
  <si>
    <t>minggu</t>
  </si>
  <si>
    <t>beberapa</t>
  </si>
  <si>
    <t>perkembangan</t>
  </si>
  <si>
    <t>melihat</t>
  </si>
  <si>
    <t>waduhhh</t>
  </si>
  <si>
    <t>tatanan</t>
  </si>
  <si>
    <t>merusak</t>
  </si>
  <si>
    <t>selama</t>
  </si>
  <si>
    <t>ceria</t>
  </si>
  <si>
    <t>bahagia</t>
  </si>
  <si>
    <t>aktivitas</t>
  </si>
  <si>
    <t>slalu</t>
  </si>
  <si>
    <t>cihuyy</t>
  </si>
  <si>
    <t>tweps</t>
  </si>
  <si>
    <t>kopi</t>
  </si>
  <si>
    <t>puan</t>
  </si>
  <si>
    <t>jawa</t>
  </si>
  <si>
    <t>telak</t>
  </si>
  <si>
    <t>politika</t>
  </si>
  <si>
    <t>charta</t>
  </si>
  <si>
    <t>survei</t>
  </si>
  <si>
    <t>wb</t>
  </si>
  <si>
    <t>wr</t>
  </si>
  <si>
    <t>assalamu'alaikum</t>
  </si>
  <si>
    <t>berlabuh</t>
  </si>
  <si>
    <t>segera</t>
  </si>
  <si>
    <t>rabb</t>
  </si>
  <si>
    <t>yaa</t>
  </si>
  <si>
    <t>gate</t>
  </si>
  <si>
    <t>kepentingan</t>
  </si>
  <si>
    <t>membela</t>
  </si>
  <si>
    <t>fi</t>
  </si>
  <si>
    <t>markonah_003</t>
  </si>
  <si>
    <t>tangan</t>
  </si>
  <si>
    <t>kepanjangan</t>
  </si>
  <si>
    <t>sepertinya</t>
  </si>
  <si>
    <t>membatalkan</t>
  </si>
  <si>
    <t>pengawal</t>
  </si>
  <si>
    <t>putusan</t>
  </si>
  <si>
    <t>kehabisan</t>
  </si>
  <si>
    <t>biasa</t>
  </si>
  <si>
    <t>halu</t>
  </si>
  <si>
    <t>standingnya</t>
  </si>
  <si>
    <t>memohon</t>
  </si>
  <si>
    <t>resmi</t>
  </si>
  <si>
    <t>gus</t>
  </si>
  <si>
    <t>pemohon</t>
  </si>
  <si>
    <t>langsung</t>
  </si>
  <si>
    <t>lalu</t>
  </si>
  <si>
    <t>masa</t>
  </si>
  <si>
    <t>wisata</t>
  </si>
  <si>
    <t>pajaknya</t>
  </si>
  <si>
    <t>dicina</t>
  </si>
  <si>
    <t>perusahaan</t>
  </si>
  <si>
    <t>ngak</t>
  </si>
  <si>
    <t>otaknya</t>
  </si>
  <si>
    <t>kemampuan</t>
  </si>
  <si>
    <t>menggunakan</t>
  </si>
  <si>
    <t>kelakuan</t>
  </si>
  <si>
    <t>pembangunannya</t>
  </si>
  <si>
    <t>terlaksana</t>
  </si>
  <si>
    <t>terbukti</t>
  </si>
  <si>
    <t>hunian</t>
  </si>
  <si>
    <t>mendapatkan</t>
  </si>
  <si>
    <t>masyarakyat</t>
  </si>
  <si>
    <t>membantu</t>
  </si>
  <si>
    <t>hati</t>
  </si>
  <si>
    <t>rendah</t>
  </si>
  <si>
    <t>warganya</t>
  </si>
  <si>
    <t>bukti</t>
  </si>
  <si>
    <t>risma</t>
  </si>
  <si>
    <t>kakak</t>
  </si>
  <si>
    <t>pdhl</t>
  </si>
  <si>
    <t>6a</t>
  </si>
  <si>
    <t>standing</t>
  </si>
  <si>
    <t>mengacu</t>
  </si>
  <si>
    <t>karna</t>
  </si>
  <si>
    <t>berkali2</t>
  </si>
  <si>
    <t>swt</t>
  </si>
  <si>
    <t>tuntunan</t>
  </si>
  <si>
    <t>lindungan</t>
  </si>
  <si>
    <t>lawan</t>
  </si>
  <si>
    <t>abal2</t>
  </si>
  <si>
    <t>jeblok</t>
  </si>
  <si>
    <t>katakan</t>
  </si>
  <si>
    <t>ujungnya</t>
  </si>
  <si>
    <t>daerah2</t>
  </si>
  <si>
    <t>keluarkan</t>
  </si>
  <si>
    <t>lama</t>
  </si>
  <si>
    <t>jabar</t>
  </si>
  <si>
    <t>menangkan</t>
  </si>
  <si>
    <t>nipu</t>
  </si>
  <si>
    <t>jelas2</t>
  </si>
  <si>
    <t>terlebih</t>
  </si>
  <si>
    <t>lembaga</t>
  </si>
  <si>
    <t>ga</t>
  </si>
  <si>
    <t>gue</t>
  </si>
  <si>
    <t>kecebong</t>
  </si>
  <si>
    <t>bloon</t>
  </si>
  <si>
    <t>tagar</t>
  </si>
  <si>
    <t>fokus</t>
  </si>
  <si>
    <t>km50</t>
  </si>
  <si>
    <t>pala</t>
  </si>
  <si>
    <t>teror</t>
  </si>
  <si>
    <t>siapa</t>
  </si>
  <si>
    <t>ternak</t>
  </si>
  <si>
    <t>akun</t>
  </si>
  <si>
    <t>tagarnya</t>
  </si>
  <si>
    <t>inilah</t>
  </si>
  <si>
    <t>via</t>
  </si>
  <si>
    <t>ogi</t>
  </si>
  <si>
    <t>penyanyi</t>
  </si>
  <si>
    <t>lirik</t>
  </si>
  <si>
    <t>bra</t>
  </si>
  <si>
    <t>cd</t>
  </si>
  <si>
    <t>ngirim</t>
  </si>
  <si>
    <t>dulu</t>
  </si>
  <si>
    <t>jg</t>
  </si>
  <si>
    <t>main</t>
  </si>
  <si>
    <t>aduh</t>
  </si>
  <si>
    <t>korupsi</t>
  </si>
  <si>
    <t>biaya</t>
  </si>
  <si>
    <t>keluhkan</t>
  </si>
  <si>
    <t>kepala</t>
  </si>
  <si>
    <t>firli</t>
  </si>
  <si>
    <t>capress</t>
  </si>
  <si>
    <t>gt</t>
  </si>
  <si>
    <t>bupati</t>
  </si>
  <si>
    <t>m</t>
  </si>
  <si>
    <t>sewa</t>
  </si>
  <si>
    <t>akibat</t>
  </si>
  <si>
    <t>kpk</t>
  </si>
  <si>
    <t>end</t>
  </si>
  <si>
    <t>cpt</t>
  </si>
  <si>
    <t>imun</t>
  </si>
  <si>
    <t>menarik</t>
  </si>
  <si>
    <t>ambyar</t>
  </si>
  <si>
    <t>gonggongan</t>
  </si>
  <si>
    <t>dibandingkan</t>
  </si>
  <si>
    <t>sholat</t>
  </si>
  <si>
    <t>panggilan</t>
  </si>
  <si>
    <t>adzan</t>
  </si>
  <si>
    <t>mengumandangkan</t>
  </si>
  <si>
    <t>muadzin</t>
  </si>
  <si>
    <t>menuliskan</t>
  </si>
  <si>
    <t>liputan</t>
  </si>
  <si>
    <t>tribun</t>
  </si>
  <si>
    <t>detik</t>
  </si>
  <si>
    <t>sekelas</t>
  </si>
  <si>
    <t>perhatian</t>
  </si>
  <si>
    <t>mendapat</t>
  </si>
  <si>
    <t>clickbait</t>
  </si>
  <si>
    <t>sempat</t>
  </si>
  <si>
    <t>tadinya</t>
  </si>
  <si>
    <t>bs</t>
  </si>
  <si>
    <t>cemerlang</t>
  </si>
  <si>
    <t>genarasi</t>
  </si>
  <si>
    <t>mematikan</t>
  </si>
  <si>
    <t>gugat</t>
  </si>
  <si>
    <t>waalaikumunsallam</t>
  </si>
  <si>
    <t>belajarlah</t>
  </si>
  <si>
    <t>langkah</t>
  </si>
  <si>
    <t>berfikir</t>
  </si>
  <si>
    <t>jikalau</t>
  </si>
  <si>
    <t>sempurna</t>
  </si>
  <si>
    <t>diciptakan</t>
  </si>
  <si>
    <t>mukamu</t>
  </si>
  <si>
    <t>rusak</t>
  </si>
  <si>
    <t>janganlah</t>
  </si>
  <si>
    <t>jelasin</t>
  </si>
  <si>
    <t>ane</t>
  </si>
  <si>
    <t>bro</t>
  </si>
  <si>
    <t>maksud</t>
  </si>
  <si>
    <t>assalamualaikum</t>
  </si>
  <si>
    <t>pro</t>
  </si>
  <si>
    <t>legislatif</t>
  </si>
  <si>
    <t>eksekutif</t>
  </si>
  <si>
    <t>darma</t>
  </si>
  <si>
    <t>tri</t>
  </si>
  <si>
    <t>bagian</t>
  </si>
  <si>
    <t>historis</t>
  </si>
  <si>
    <t>moral</t>
  </si>
  <si>
    <t>memiliki</t>
  </si>
  <si>
    <t>badrun</t>
  </si>
  <si>
    <t>ubaidillah</t>
  </si>
  <si>
    <t>dosennya</t>
  </si>
  <si>
    <t>bangga</t>
  </si>
  <si>
    <t>unj</t>
  </si>
  <si>
    <t>jakarta</t>
  </si>
  <si>
    <t>universitas</t>
  </si>
  <si>
    <t>rektor</t>
  </si>
  <si>
    <t>civitas</t>
  </si>
  <si>
    <t>berkudis</t>
  </si>
  <si>
    <t>komisaris</t>
  </si>
  <si>
    <t>berbaju</t>
  </si>
  <si>
    <t>pengemis</t>
  </si>
  <si>
    <t>kritis</t>
  </si>
  <si>
    <t>konsisten</t>
  </si>
  <si>
    <t>reformasi</t>
  </si>
  <si>
    <t>musuh</t>
  </si>
  <si>
    <t>election</t>
  </si>
  <si>
    <t>fair</t>
  </si>
  <si>
    <t>free</t>
  </si>
  <si>
    <t>hadirnya</t>
  </si>
  <si>
    <t>hambatan</t>
  </si>
  <si>
    <t>berdiam</t>
  </si>
  <si>
    <t>suku</t>
  </si>
  <si>
    <t>agama</t>
  </si>
  <si>
    <t>rasial</t>
  </si>
  <si>
    <t>isu</t>
  </si>
  <si>
    <t>terbelah</t>
  </si>
  <si>
    <t>kedaulatan</t>
  </si>
  <si>
    <t>indikasi</t>
  </si>
  <si>
    <t>kekhawatiran</t>
  </si>
  <si>
    <t>berjaya</t>
  </si>
  <si>
    <t>kmbali</t>
  </si>
  <si>
    <t>shg</t>
  </si>
  <si>
    <t>ikhtiar</t>
  </si>
  <si>
    <t>bntuk</t>
  </si>
  <si>
    <t>sgl</t>
  </si>
  <si>
    <t>ridhoi</t>
  </si>
  <si>
    <t>smua</t>
  </si>
  <si>
    <t>mudahkan</t>
  </si>
  <si>
    <t>lancarkan</t>
  </si>
  <si>
    <t>smg</t>
  </si>
  <si>
    <t>jatim</t>
  </si>
  <si>
    <t>sebagai</t>
  </si>
  <si>
    <t>merasa</t>
  </si>
  <si>
    <t>pajak</t>
  </si>
  <si>
    <t>bayar</t>
  </si>
  <si>
    <t>ikhlas</t>
  </si>
  <si>
    <t>koq</t>
  </si>
  <si>
    <t>rasanya</t>
  </si>
  <si>
    <t>rampung</t>
  </si>
  <si>
    <t>16jam</t>
  </si>
  <si>
    <t>giliran</t>
  </si>
  <si>
    <t>katanya</t>
  </si>
  <si>
    <t>bahas</t>
  </si>
  <si>
    <t>rapat</t>
  </si>
  <si>
    <t>lawam</t>
  </si>
  <si>
    <t>polisi</t>
  </si>
  <si>
    <t>penangkapan</t>
  </si>
  <si>
    <t>pemukulan</t>
  </si>
  <si>
    <t>korban</t>
  </si>
  <si>
    <t>nama</t>
  </si>
  <si>
    <t>g20</t>
  </si>
  <si>
    <t>ktt</t>
  </si>
  <si>
    <t>tolak</t>
  </si>
  <si>
    <t>aksi</t>
  </si>
  <si>
    <t>papua</t>
  </si>
  <si>
    <t>berita</t>
  </si>
  <si>
    <t>oddo</t>
  </si>
  <si>
    <t>hasilkan</t>
  </si>
  <si>
    <t>serta</t>
  </si>
  <si>
    <t>ajah</t>
  </si>
  <si>
    <t>support</t>
  </si>
  <si>
    <t>tersebut</t>
  </si>
  <si>
    <t>nagagari</t>
  </si>
  <si>
    <t>ka</t>
  </si>
  <si>
    <t>dunia</t>
  </si>
  <si>
    <t>terindah</t>
  </si>
  <si>
    <t>katonyo</t>
  </si>
  <si>
    <t>pariangan</t>
  </si>
  <si>
    <t>batusangka</t>
  </si>
  <si>
    <t>ambo</t>
  </si>
  <si>
    <t>da</t>
  </si>
  <si>
    <t>kampuang</t>
  </si>
  <si>
    <t>dima</t>
  </si>
  <si>
    <t>panjang</t>
  </si>
  <si>
    <t>menyelamatkan</t>
  </si>
  <si>
    <t>penyadaran</t>
  </si>
  <si>
    <t>gerakan</t>
  </si>
  <si>
    <t>besar</t>
  </si>
  <si>
    <t>es</t>
  </si>
  <si>
    <t>bola</t>
  </si>
  <si>
    <t>bergerak</t>
  </si>
  <si>
    <t>hentikan</t>
  </si>
  <si>
    <t>setop</t>
  </si>
  <si>
    <t>dilakukan</t>
  </si>
  <si>
    <t>koruptor</t>
  </si>
  <si>
    <t>mati</t>
  </si>
  <si>
    <t>menghukum</t>
  </si>
  <si>
    <t>niat</t>
  </si>
  <si>
    <t>profesor</t>
  </si>
  <si>
    <t>meridhoi</t>
  </si>
  <si>
    <t>doa</t>
  </si>
  <si>
    <t>teriring</t>
  </si>
  <si>
    <t>materil</t>
  </si>
  <si>
    <t>uji</t>
  </si>
  <si>
    <t>pengacara</t>
  </si>
  <si>
    <t>tim</t>
  </si>
  <si>
    <t>beserta</t>
  </si>
  <si>
    <t>senator</t>
  </si>
  <si>
    <t>kawan2</t>
  </si>
  <si>
    <t>bissmillah</t>
  </si>
  <si>
    <t>berjuang</t>
  </si>
  <si>
    <t>saudara</t>
  </si>
  <si>
    <t>hahahaha</t>
  </si>
  <si>
    <t>banget</t>
  </si>
  <si>
    <t>bener</t>
  </si>
  <si>
    <t>bong</t>
  </si>
  <si>
    <t>pakai</t>
  </si>
  <si>
    <t>uunya</t>
  </si>
  <si>
    <t>lahir</t>
  </si>
  <si>
    <t>bubur</t>
  </si>
  <si>
    <t>nasi</t>
  </si>
  <si>
    <t>dipindah</t>
  </si>
  <si>
    <t>referendum</t>
  </si>
  <si>
    <t>persetujuan</t>
  </si>
  <si>
    <t>usul</t>
  </si>
  <si>
    <t>tulisan</t>
  </si>
  <si>
    <t>upload</t>
  </si>
  <si>
    <t>disahkan</t>
  </si>
  <si>
    <t>sedikit</t>
  </si>
  <si>
    <t>ngasih</t>
  </si>
  <si>
    <t>terhormat</t>
  </si>
  <si>
    <t>secara</t>
  </si>
  <si>
    <t>tarung</t>
  </si>
  <si>
    <t>siap2</t>
  </si>
  <si>
    <t>tenang2</t>
  </si>
  <si>
    <t>dihormati</t>
  </si>
  <si>
    <t>perjalanan</t>
  </si>
  <si>
    <t>tugas</t>
  </si>
  <si>
    <t>selesaikan</t>
  </si>
  <si>
    <t>kasi</t>
  </si>
  <si>
    <t>skenario</t>
  </si>
  <si>
    <t>bahas2</t>
  </si>
  <si>
    <t>usah</t>
  </si>
  <si>
    <t>ditetapkan</t>
  </si>
  <si>
    <t>pencoblosan</t>
  </si>
  <si>
    <t>jadwal</t>
  </si>
  <si>
    <t>menyetujui</t>
  </si>
  <si>
    <t>ruang</t>
  </si>
  <si>
    <t>buka</t>
  </si>
  <si>
    <t>setuju</t>
  </si>
  <si>
    <t>2024tenggelamkan</t>
  </si>
  <si>
    <t>batalkan</t>
  </si>
  <si>
    <t>bintang</t>
  </si>
  <si>
    <t>bulan</t>
  </si>
  <si>
    <t>dikabulkan</t>
  </si>
  <si>
    <t>insya</t>
  </si>
  <si>
    <t>ilmunya</t>
  </si>
  <si>
    <t>jalanny</t>
  </si>
  <si>
    <t>mmuluskan</t>
  </si>
  <si>
    <t>basah</t>
  </si>
  <si>
    <t>ladang</t>
  </si>
  <si>
    <t>mnjadi</t>
  </si>
  <si>
    <t>bahwa</t>
  </si>
  <si>
    <t>myakini</t>
  </si>
  <si>
    <t>semata</t>
  </si>
  <si>
    <t>elite</t>
  </si>
  <si>
    <t>segelintir</t>
  </si>
  <si>
    <t>hnya</t>
  </si>
  <si>
    <t>rekrutmen</t>
  </si>
  <si>
    <t>pengusaha</t>
  </si>
  <si>
    <t>menjamin</t>
  </si>
  <si>
    <t>munafiknya</t>
  </si>
  <si>
    <t>bangkit</t>
  </si>
  <si>
    <t>berani</t>
  </si>
  <si>
    <t>boneka</t>
  </si>
  <si>
    <t>muncul</t>
  </si>
  <si>
    <t>hapuskan</t>
  </si>
  <si>
    <t>serius</t>
  </si>
  <si>
    <t>kamu</t>
  </si>
  <si>
    <t>alias</t>
  </si>
  <si>
    <t>suci</t>
  </si>
  <si>
    <t>golongannmu</t>
  </si>
  <si>
    <t>sayang</t>
  </si>
  <si>
    <t>bertaubat</t>
  </si>
  <si>
    <t>dosanya</t>
  </si>
  <si>
    <t>terpilih</t>
  </si>
  <si>
    <t>aset</t>
  </si>
  <si>
    <t>perampasan</t>
  </si>
  <si>
    <t>pengesahan</t>
  </si>
  <si>
    <t>prioritaskan</t>
  </si>
  <si>
    <t>komitmen</t>
  </si>
  <si>
    <t>tegas</t>
  </si>
  <si>
    <t>membuahkan</t>
  </si>
  <si>
    <t>salamakalsehat</t>
  </si>
  <si>
    <t>buang2</t>
  </si>
  <si>
    <t>nolak</t>
  </si>
  <si>
    <t>kenceng</t>
  </si>
  <si>
    <t>oposisi</t>
  </si>
  <si>
    <t>dimenangkan</t>
  </si>
  <si>
    <t>mangkrak</t>
  </si>
  <si>
    <t>lambe</t>
  </si>
  <si>
    <t>normalisasi</t>
  </si>
  <si>
    <t>oc</t>
  </si>
  <si>
    <t>ok</t>
  </si>
  <si>
    <t>kampanye</t>
  </si>
  <si>
    <t>agenda</t>
  </si>
  <si>
    <t>e</t>
  </si>
  <si>
    <t>formula</t>
  </si>
  <si>
    <t>event</t>
  </si>
  <si>
    <t>pergeralan</t>
  </si>
  <si>
    <t>ingat</t>
  </si>
  <si>
    <t>triliunan</t>
  </si>
  <si>
    <t>nilainya</t>
  </si>
  <si>
    <t>sakit</t>
  </si>
  <si>
    <t>kepada</t>
  </si>
  <si>
    <t>dibayarkan</t>
  </si>
  <si>
    <t>covid</t>
  </si>
  <si>
    <t>penanganan</t>
  </si>
  <si>
    <t>tagihan</t>
  </si>
  <si>
    <t>klaim</t>
  </si>
  <si>
    <t>kesehatan</t>
  </si>
  <si>
    <t>kementerian</t>
  </si>
  <si>
    <t>kades</t>
  </si>
  <si>
    <t>nyalon</t>
  </si>
  <si>
    <t>suruh</t>
  </si>
  <si>
    <t>rusun</t>
  </si>
  <si>
    <t>jadikan</t>
  </si>
  <si>
    <t>pengin</t>
  </si>
  <si>
    <t>saat</t>
  </si>
  <si>
    <t>adilkah</t>
  </si>
  <si>
    <t>revolusiakhlaq</t>
  </si>
  <si>
    <t>membodohi</t>
  </si>
  <si>
    <t>cuman</t>
  </si>
  <si>
    <t>relevan</t>
  </si>
  <si>
    <t>kebijakan2</t>
  </si>
  <si>
    <t>pinter</t>
  </si>
  <si>
    <t>bravo</t>
  </si>
  <si>
    <t>mangap</t>
  </si>
  <si>
    <t>sembarangan</t>
  </si>
  <si>
    <t>ditinggalkan</t>
  </si>
  <si>
    <t>kalian</t>
  </si>
  <si>
    <t>rezim</t>
  </si>
  <si>
    <t>corong</t>
  </si>
  <si>
    <t>dog</t>
  </si>
  <si>
    <t>watch</t>
  </si>
  <si>
    <t>sbg</t>
  </si>
  <si>
    <t>berfungsi</t>
  </si>
  <si>
    <t>wp</t>
  </si>
  <si>
    <t>mardigu</t>
  </si>
  <si>
    <t>musti</t>
  </si>
  <si>
    <t>jasa2</t>
  </si>
  <si>
    <t>biyar</t>
  </si>
  <si>
    <t>thershold</t>
  </si>
  <si>
    <t>setan</t>
  </si>
  <si>
    <t>lingkaran</t>
  </si>
  <si>
    <t>mngknya</t>
  </si>
  <si>
    <t>solusi</t>
  </si>
  <si>
    <t>tnp</t>
  </si>
  <si>
    <t>ngomong</t>
  </si>
  <si>
    <t>hny</t>
  </si>
  <si>
    <t>nantinya</t>
  </si>
  <si>
    <t>perlombaan</t>
  </si>
  <si>
    <t>minta</t>
  </si>
  <si>
    <t>coba</t>
  </si>
  <si>
    <t>beken</t>
  </si>
  <si>
    <t>vokalisnya</t>
  </si>
  <si>
    <t>barunya</t>
  </si>
  <si>
    <t>band</t>
  </si>
  <si>
    <t>loh</t>
  </si>
  <si>
    <t>kasihan</t>
  </si>
  <si>
    <t>vokalis</t>
  </si>
  <si>
    <t>tangkapferdinand</t>
  </si>
  <si>
    <t>jendralbalihoantiulama</t>
  </si>
  <si>
    <t>balihoo</t>
  </si>
  <si>
    <t>lwt</t>
  </si>
  <si>
    <t>wajah</t>
  </si>
  <si>
    <t>jualan</t>
  </si>
  <si>
    <t>dki</t>
  </si>
  <si>
    <t>gub</t>
  </si>
  <si>
    <t>secemerlang</t>
  </si>
  <si>
    <t>pny</t>
  </si>
  <si>
    <t>kepanikan</t>
  </si>
  <si>
    <t>terlihat</t>
  </si>
  <si>
    <t>klitoris</t>
  </si>
  <si>
    <t>autis</t>
  </si>
  <si>
    <t>apatis</t>
  </si>
  <si>
    <t>skeptis</t>
  </si>
  <si>
    <t>tiap</t>
  </si>
  <si>
    <t>cocok</t>
  </si>
  <si>
    <t>ngamuk2</t>
  </si>
  <si>
    <t>idup</t>
  </si>
  <si>
    <t>seumur</t>
  </si>
  <si>
    <t>pecundang</t>
  </si>
  <si>
    <t>sampah</t>
  </si>
  <si>
    <t>surga</t>
  </si>
  <si>
    <t>laen</t>
  </si>
  <si>
    <t>kepercayaan</t>
  </si>
  <si>
    <t>menghargai</t>
  </si>
  <si>
    <t>sih</t>
  </si>
  <si>
    <t>amat</t>
  </si>
  <si>
    <t>gurem</t>
  </si>
  <si>
    <t>humas</t>
  </si>
  <si>
    <t>gitu</t>
  </si>
  <si>
    <t>ngerasa</t>
  </si>
  <si>
    <t>trus</t>
  </si>
  <si>
    <t>tangung</t>
  </si>
  <si>
    <t>jiwa</t>
  </si>
  <si>
    <t>mempunyai</t>
  </si>
  <si>
    <t>berhutang</t>
  </si>
  <si>
    <t>didik</t>
  </si>
  <si>
    <t>kecil</t>
  </si>
  <si>
    <t>bandar</t>
  </si>
  <si>
    <t>bekerja</t>
  </si>
  <si>
    <t>nasional</t>
  </si>
  <si>
    <t>hingga</t>
  </si>
  <si>
    <t>level</t>
  </si>
  <si>
    <t>pemilihan</t>
  </si>
  <si>
    <t>penghapusan</t>
  </si>
  <si>
    <t>memperjuangkan</t>
  </si>
  <si>
    <t>ramli</t>
  </si>
  <si>
    <t>rizal</t>
  </si>
  <si>
    <t>_</t>
  </si>
  <si>
    <t>syair</t>
  </si>
  <si>
    <t>cherista</t>
  </si>
  <si>
    <t>ogie</t>
  </si>
  <si>
    <t>vokal</t>
  </si>
  <si>
    <t>berlanjut</t>
  </si>
  <si>
    <t>ppnbm</t>
  </si>
  <si>
    <t>roda</t>
  </si>
  <si>
    <t>kendaraan</t>
  </si>
  <si>
    <t>property</t>
  </si>
  <si>
    <t>tambah</t>
  </si>
  <si>
    <t>pesat</t>
  </si>
  <si>
    <t>naik</t>
  </si>
  <si>
    <t>omset</t>
  </si>
  <si>
    <t>queen__lagi</t>
  </si>
  <si>
    <t>stevaniehuangg</t>
  </si>
  <si>
    <t>__nramadh4n</t>
  </si>
  <si>
    <t>hadapan</t>
  </si>
  <si>
    <t>berkutik</t>
  </si>
  <si>
    <t>kalangan</t>
  </si>
  <si>
    <t>dikritik</t>
  </si>
  <si>
    <t>mendeka</t>
  </si>
  <si>
    <t>tuhan</t>
  </si>
  <si>
    <t>tau</t>
  </si>
  <si>
    <t>dasar</t>
  </si>
  <si>
    <t>portasi</t>
  </si>
  <si>
    <t>trans</t>
  </si>
  <si>
    <t>kaki</t>
  </si>
  <si>
    <t>banjir</t>
  </si>
  <si>
    <t>terlalu</t>
  </si>
  <si>
    <t>malinau</t>
  </si>
  <si>
    <t>bandara</t>
  </si>
  <si>
    <t>susi</t>
  </si>
  <si>
    <t>pesawat</t>
  </si>
  <si>
    <t>paksa</t>
  </si>
  <si>
    <t>tuntas</t>
  </si>
  <si>
    <t>usut</t>
  </si>
  <si>
    <t>kemenhub</t>
  </si>
  <si>
    <t>desak</t>
  </si>
  <si>
    <t>sekian</t>
  </si>
  <si>
    <t>om</t>
  </si>
  <si>
    <t>lulus</t>
  </si>
  <si>
    <t>betul</t>
  </si>
  <si>
    <t>selamanya</t>
  </si>
  <si>
    <t>respon</t>
  </si>
  <si>
    <t>karta</t>
  </si>
  <si>
    <t>etika</t>
  </si>
  <si>
    <t>adab</t>
  </si>
  <si>
    <t>pedagang</t>
  </si>
  <si>
    <t>setuja</t>
  </si>
  <si>
    <t>h</t>
  </si>
  <si>
    <t>bln</t>
  </si>
  <si>
    <t>dimulai</t>
  </si>
  <si>
    <t>lambat</t>
  </si>
  <si>
    <t>menyatakan</t>
  </si>
  <si>
    <t>ayat</t>
  </si>
  <si>
    <t>krn</t>
  </si>
  <si>
    <t>mensukseskan</t>
  </si>
  <si>
    <t>peraturan</t>
  </si>
  <si>
    <t>menyelesaikan</t>
  </si>
  <si>
    <t>bawaslu</t>
  </si>
  <si>
    <t>kpu</t>
  </si>
  <si>
    <t>dibereskan</t>
  </si>
  <si>
    <t>perlu</t>
  </si>
  <si>
    <t>bbrp</t>
  </si>
  <si>
    <t>disepakati</t>
  </si>
  <si>
    <t>jdwl</t>
  </si>
  <si>
    <t>alhamdulillah</t>
  </si>
  <si>
    <t>seru</t>
  </si>
  <si>
    <t>ngambil</t>
  </si>
  <si>
    <t>knp</t>
  </si>
  <si>
    <t>huahaha</t>
  </si>
  <si>
    <t>asyik</t>
  </si>
  <si>
    <t>pantang</t>
  </si>
  <si>
    <t>pthej5r5s8</t>
  </si>
  <si>
    <t>co</t>
  </si>
  <si>
    <t>https</t>
  </si>
  <si>
    <t>warni</t>
  </si>
  <si>
    <t>warna</t>
  </si>
  <si>
    <t>genting</t>
  </si>
  <si>
    <t>waring</t>
  </si>
  <si>
    <t>ditutup</t>
  </si>
  <si>
    <t>kebeli</t>
  </si>
  <si>
    <t>ocrot</t>
  </si>
  <si>
    <t>tuguan</t>
  </si>
  <si>
    <t>tugu</t>
  </si>
  <si>
    <t>resapan</t>
  </si>
  <si>
    <t>sumur</t>
  </si>
  <si>
    <t>setara</t>
  </si>
  <si>
    <t>saatnya</t>
  </si>
  <si>
    <t>daripada</t>
  </si>
  <si>
    <t>pendirian</t>
  </si>
  <si>
    <t>majelis</t>
  </si>
  <si>
    <t>dipertimbangkan</t>
  </si>
  <si>
    <t>permohonan</t>
  </si>
  <si>
    <t>asa</t>
  </si>
  <si>
    <t>tunai</t>
  </si>
  <si>
    <t>dibayar</t>
  </si>
  <si>
    <t>kawinnya</t>
  </si>
  <si>
    <t>mas</t>
  </si>
  <si>
    <t>nikah</t>
  </si>
  <si>
    <t>terima</t>
  </si>
  <si>
    <t>pakar</t>
  </si>
  <si>
    <t>pihak</t>
  </si>
  <si>
    <t>aspirasi</t>
  </si>
  <si>
    <t>sikapnya</t>
  </si>
  <si>
    <t>perjuangkan</t>
  </si>
  <si>
    <t>tadi</t>
  </si>
  <si>
    <t>dini</t>
  </si>
  <si>
    <t>diputuskan</t>
  </si>
  <si>
    <t>berakhir</t>
  </si>
  <si>
    <t>bertentangan</t>
  </si>
  <si>
    <t>sungkharisma</t>
  </si>
  <si>
    <t>lieus</t>
  </si>
  <si>
    <t>sistem</t>
  </si>
  <si>
    <t>kongres</t>
  </si>
  <si>
    <t>menjelang</t>
  </si>
  <si>
    <t>sebentar</t>
  </si>
  <si>
    <t>berkualitas</t>
  </si>
  <si>
    <t>didu</t>
  </si>
  <si>
    <t>dimana</t>
  </si>
  <si>
    <t>berada</t>
  </si>
  <si>
    <t>sedang</t>
  </si>
  <si>
    <t>menkes</t>
  </si>
  <si>
    <t>bole</t>
  </si>
  <si>
    <t>budok</t>
  </si>
  <si>
    <t>yt</t>
  </si>
  <si>
    <t>nonton</t>
  </si>
  <si>
    <t>ngoaahahahaaaaasu</t>
  </si>
  <si>
    <t>emperan</t>
  </si>
  <si>
    <t>lont3</t>
  </si>
  <si>
    <t>bachot</t>
  </si>
  <si>
    <t>ber</t>
  </si>
  <si>
    <t>penjilatnya</t>
  </si>
  <si>
    <t>junjungan</t>
  </si>
  <si>
    <t>kebawah</t>
  </si>
  <si>
    <t>juta</t>
  </si>
  <si>
    <t>kya</t>
  </si>
  <si>
    <t>ngga</t>
  </si>
  <si>
    <t>itulah</t>
  </si>
  <si>
    <t>berdemokrasi</t>
  </si>
  <si>
    <t>kembalikan</t>
  </si>
  <si>
    <t>lekas</t>
  </si>
  <si>
    <t>makmur</t>
  </si>
  <si>
    <t>tumbang</t>
  </si>
  <si>
    <t>syarat</t>
  </si>
  <si>
    <t>yuk</t>
  </si>
  <si>
    <t>theshold</t>
  </si>
  <si>
    <t>baik</t>
  </si>
  <si>
    <t>cepat</t>
  </si>
  <si>
    <t>percepat</t>
  </si>
  <si>
    <t>hidayatmursid</t>
  </si>
  <si>
    <t>gemblong_hidup</t>
  </si>
  <si>
    <t>sijabong_</t>
  </si>
  <si>
    <t>momocimol</t>
  </si>
  <si>
    <t>kiyang333</t>
  </si>
  <si>
    <t>ainu98281951nur</t>
  </si>
  <si>
    <t>joyokarmo</t>
  </si>
  <si>
    <t>kilurahidiot</t>
  </si>
  <si>
    <t>berliannew</t>
  </si>
  <si>
    <t>l4uh4ul4m132435</t>
  </si>
  <si>
    <t>udinsam78807473</t>
  </si>
  <si>
    <t>mentarlpagl</t>
  </si>
  <si>
    <t>lutungs4rung4n</t>
  </si>
  <si>
    <t>s_amaluddin</t>
  </si>
  <si>
    <t>luthfirashya</t>
  </si>
  <si>
    <t>bozzvanc1</t>
  </si>
  <si>
    <t>rezimpenipu222</t>
  </si>
  <si>
    <t>t0n1h3r5_83</t>
  </si>
  <si>
    <t>salamrevolusiakhlak</t>
  </si>
  <si>
    <t>isinya</t>
  </si>
  <si>
    <t>pembunuh</t>
  </si>
  <si>
    <t>bagi</t>
  </si>
  <si>
    <t>keadilan</t>
  </si>
  <si>
    <t>siap</t>
  </si>
  <si>
    <t>penguasa</t>
  </si>
  <si>
    <t>hehe</t>
  </si>
  <si>
    <t>ntar</t>
  </si>
  <si>
    <t>maksudnya</t>
  </si>
  <si>
    <t>diam</t>
  </si>
  <si>
    <t>semuanya</t>
  </si>
  <si>
    <t>kampus</t>
  </si>
  <si>
    <t>bersuara</t>
  </si>
  <si>
    <t>seharusnya</t>
  </si>
  <si>
    <t>berisik</t>
  </si>
  <si>
    <t>mengapa</t>
  </si>
  <si>
    <t>prcy</t>
  </si>
  <si>
    <t>jokwi</t>
  </si>
  <si>
    <t>cina</t>
  </si>
  <si>
    <t>tka</t>
  </si>
  <si>
    <t>ketimpangan</t>
  </si>
  <si>
    <t>padahal</t>
  </si>
  <si>
    <t>gambar</t>
  </si>
  <si>
    <t>seliweran</t>
  </si>
  <si>
    <t>treshold</t>
  </si>
  <si>
    <t>pantas</t>
  </si>
  <si>
    <t>ajaib</t>
  </si>
  <si>
    <t>korup</t>
  </si>
  <si>
    <t>kader</t>
  </si>
  <si>
    <t>terkejut</t>
  </si>
  <si>
    <t>hotel</t>
  </si>
  <si>
    <t>garuda</t>
  </si>
  <si>
    <t>kemenparekraf</t>
  </si>
  <si>
    <t>dibiayai</t>
  </si>
  <si>
    <t>bali</t>
  </si>
  <si>
    <t>perdana</t>
  </si>
  <si>
    <t>turis</t>
  </si>
  <si>
    <t>ternyataaaa</t>
  </si>
  <si>
    <t>pesta</t>
  </si>
  <si>
    <t>hidup</t>
  </si>
  <si>
    <t>hilangkan</t>
  </si>
  <si>
    <t>lbh</t>
  </si>
  <si>
    <t>bacapres</t>
  </si>
  <si>
    <t>byk</t>
  </si>
  <si>
    <t>aku</t>
  </si>
  <si>
    <t>terbuka</t>
  </si>
  <si>
    <t>anak2</t>
  </si>
  <si>
    <t>elek</t>
  </si>
  <si>
    <t>cangkem</t>
  </si>
  <si>
    <t>iki</t>
  </si>
  <si>
    <t>wong</t>
  </si>
  <si>
    <t>ngunu</t>
  </si>
  <si>
    <t>salim</t>
  </si>
  <si>
    <t>disinggung</t>
  </si>
  <si>
    <t>nasution</t>
  </si>
  <si>
    <t>bobby</t>
  </si>
  <si>
    <t>gibran</t>
  </si>
  <si>
    <t>terangan</t>
  </si>
  <si>
    <t>terang</t>
  </si>
  <si>
    <t>pecintraan</t>
  </si>
  <si>
    <t>mendingan</t>
  </si>
  <si>
    <t>jalan</t>
  </si>
  <si>
    <t>emak</t>
  </si>
  <si>
    <t>tiduran</t>
  </si>
  <si>
    <t>atau</t>
  </si>
  <si>
    <t>manis</t>
  </si>
  <si>
    <t>duduk</t>
  </si>
  <si>
    <t>begini</t>
  </si>
  <si>
    <t>penegakan</t>
  </si>
  <si>
    <t>sedih</t>
  </si>
  <si>
    <t>bini</t>
  </si>
  <si>
    <t>anak</t>
  </si>
  <si>
    <t>diminum</t>
  </si>
  <si>
    <t>mendidih</t>
  </si>
  <si>
    <t>menunggu</t>
  </si>
  <si>
    <t>berubah</t>
  </si>
  <si>
    <t>watak</t>
  </si>
  <si>
    <t>gerombolan</t>
  </si>
  <si>
    <t>waduh</t>
  </si>
  <si>
    <t>tsb</t>
  </si>
  <si>
    <t>beli</t>
  </si>
  <si>
    <t>ditujukan</t>
  </si>
  <si>
    <t>ketenagakerjaan</t>
  </si>
  <si>
    <t>bpjs</t>
  </si>
  <si>
    <t>jht</t>
  </si>
  <si>
    <t>kelolaan</t>
  </si>
  <si>
    <t>menahan</t>
  </si>
  <si>
    <t>tambahan</t>
  </si>
  <si>
    <t>butuh</t>
  </si>
  <si>
    <t>msh</t>
  </si>
  <si>
    <t>smtr</t>
  </si>
  <si>
    <t>imf</t>
  </si>
  <si>
    <t>membeli</t>
  </si>
  <si>
    <t>berhenti</t>
  </si>
  <si>
    <t>dimintanya</t>
  </si>
  <si>
    <t>surat</t>
  </si>
  <si>
    <t>peminat</t>
  </si>
  <si>
    <t>kurangnya</t>
  </si>
  <si>
    <t>mkn</t>
  </si>
  <si>
    <t>pandemi</t>
  </si>
  <si>
    <t>salahkan</t>
  </si>
  <si>
    <t>bawah</t>
  </si>
  <si>
    <t>menengah</t>
  </si>
  <si>
    <t>penghasilan</t>
  </si>
  <si>
    <t>berhasil</t>
  </si>
  <si>
    <t>usai</t>
  </si>
  <si>
    <t>start</t>
  </si>
  <si>
    <t>awal</t>
  </si>
  <si>
    <t>msn</t>
  </si>
  <si>
    <t>jateng</t>
  </si>
  <si>
    <t>warga</t>
  </si>
  <si>
    <t>bahagianya</t>
  </si>
  <si>
    <t>mines</t>
  </si>
  <si>
    <t>gubenur2</t>
  </si>
  <si>
    <t>bagus</t>
  </si>
  <si>
    <t>bebas</t>
  </si>
  <si>
    <t>penyelenggaraan</t>
  </si>
  <si>
    <t>tentang</t>
  </si>
  <si>
    <t>xi</t>
  </si>
  <si>
    <t>tap</t>
  </si>
  <si>
    <t>diamanatkan</t>
  </si>
  <si>
    <t>sebagaimana</t>
  </si>
  <si>
    <t>anti</t>
  </si>
  <si>
    <t>menggugat</t>
  </si>
  <si>
    <t>gelombang</t>
  </si>
  <si>
    <t>barisan</t>
  </si>
  <si>
    <t>rapatkan</t>
  </si>
  <si>
    <t>nyali</t>
  </si>
  <si>
    <t>lurus</t>
  </si>
  <si>
    <t>garis</t>
  </si>
  <si>
    <t>bubarkan</t>
  </si>
  <si>
    <t>trjd</t>
  </si>
  <si>
    <t>takkan</t>
  </si>
  <si>
    <t>jumawa</t>
  </si>
  <si>
    <t>bahkan</t>
  </si>
  <si>
    <t>berkoalisi</t>
  </si>
  <si>
    <t>mengusung</t>
  </si>
  <si>
    <t>dpt</t>
  </si>
  <si>
    <t>satu2nya</t>
  </si>
  <si>
    <t>thread</t>
  </si>
  <si>
    <t>tahun</t>
  </si>
  <si>
    <t>nomor</t>
  </si>
  <si>
    <t>tertuang</t>
  </si>
  <si>
    <t>terkait</t>
  </si>
  <si>
    <t>review</t>
  </si>
  <si>
    <t>judicial</t>
  </si>
  <si>
    <t>mengajukan</t>
  </si>
  <si>
    <t>putra</t>
  </si>
  <si>
    <t>pratama</t>
  </si>
  <si>
    <t>edwin</t>
  </si>
  <si>
    <t>idris</t>
  </si>
  <si>
    <t>fahira</t>
  </si>
  <si>
    <t>linrung</t>
  </si>
  <si>
    <t>tamsil</t>
  </si>
  <si>
    <t>des</t>
  </si>
  <si>
    <t>senin</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</si>
  <si>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</si>
  <si>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</si>
  <si>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</si>
  <si>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</si>
  <si>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</si>
  <si>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</si>
  <si>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</si>
  <si>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</si>
  <si>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</si>
  <si>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</si>
  <si>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</si>
  <si>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</si>
  <si>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</si>
  <si>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</si>
  <si>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</si>
  <si>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</si>
  <si>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</si>
  <si>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</si>
  <si>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</si>
  <si>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</si>
  <si>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</si>
  <si>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</si>
  <si>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</si>
  <si>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</si>
  <si>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</si>
  <si>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</si>
  <si>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</si>
  <si>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</si>
  <si>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</si>
  <si>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</si>
  <si>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</si>
  <si>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</si>
  <si>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</si>
  <si>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</si>
  <si>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</si>
  <si>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</si>
  <si>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</si>
  <si>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</si>
  <si>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</si>
  <si>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</si>
  <si>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</si>
  <si>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</si>
  <si>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</si>
  <si>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</si>
  <si>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</si>
  <si>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</si>
  <si>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</si>
  <si>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</si>
  <si>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</si>
  <si>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</si>
  <si>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</si>
  <si>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</si>
  <si>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</si>
  <si>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</si>
  <si>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</si>
  <si>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</si>
  <si>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</si>
  <si>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</si>
  <si>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</si>
  <si>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</si>
  <si>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</si>
  <si>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</si>
  <si>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</si>
  <si>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</si>
  <si>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</si>
  <si>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</si>
  <si>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</si>
  <si>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</si>
  <si>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</si>
  <si>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</si>
  <si>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</si>
  <si>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</si>
  <si>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</si>
  <si>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</si>
  <si>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</si>
  <si>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</si>
  <si>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</si>
  <si>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</si>
  <si>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</si>
  <si>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</si>
  <si>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</si>
  <si>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</si>
  <si>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</si>
  <si>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</si>
  <si>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</si>
  <si>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</si>
  <si>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</si>
  <si>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</si>
  <si>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</si>
  <si>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</si>
  <si>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</si>
  <si>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</si>
  <si>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</si>
  <si>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</si>
  <si>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</si>
  <si>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</si>
  <si>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</si>
  <si>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</si>
  <si>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</si>
  <si>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</si>
  <si>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</si>
  <si>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</si>
  <si>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</si>
  <si>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</si>
  <si>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</si>
  <si>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</si>
  <si>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</si>
  <si>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</si>
  <si>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</si>
  <si>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</si>
  <si>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</si>
  <si>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</si>
  <si>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</si>
  <si>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</si>
  <si>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</si>
  <si>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</si>
  <si>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</si>
  <si>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</si>
  <si>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</si>
  <si>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</si>
  <si>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</si>
  <si>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</si>
  <si>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</si>
  <si>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</si>
  <si>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</si>
  <si>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</si>
  <si>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</si>
  <si>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</si>
  <si>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</si>
  <si>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</si>
  <si>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</si>
  <si>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</si>
  <si>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</si>
  <si>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</si>
  <si>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</si>
  <si>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</si>
  <si>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</si>
  <si>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</si>
  <si>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</si>
  <si>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</si>
  <si>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</si>
  <si>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</si>
  <si>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</si>
  <si>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</si>
  <si>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</si>
  <si>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</si>
  <si>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</si>
  <si>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</si>
  <si>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</si>
  <si>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</si>
  <si>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</si>
  <si>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</si>
  <si>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</si>
  <si>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</si>
  <si>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</si>
  <si>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</si>
  <si>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</si>
  <si>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</si>
  <si>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</si>
  <si>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</si>
  <si>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</si>
  <si>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</si>
  <si>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</si>
  <si>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</si>
  <si>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</si>
  <si>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</si>
  <si>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</si>
  <si>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</si>
  <si>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</si>
  <si>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</si>
  <si>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</si>
  <si>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</si>
  <si>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</si>
  <si>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</si>
  <si>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</si>
  <si>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</si>
  <si>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</si>
  <si>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</si>
  <si>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</si>
  <si>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</si>
  <si>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</si>
  <si>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</si>
  <si>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</si>
  <si>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</si>
  <si>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</si>
  <si>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</si>
  <si>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</si>
  <si>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</si>
  <si>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</si>
  <si>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</si>
  <si>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</si>
  <si>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</si>
  <si>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</si>
  <si>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</si>
  <si>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</si>
  <si>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</si>
  <si>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</si>
  <si>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</si>
  <si>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</si>
  <si>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</si>
  <si>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</si>
  <si>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</si>
  <si>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</si>
  <si>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</si>
  <si>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</si>
  <si>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</si>
  <si>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</si>
  <si>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</si>
  <si>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</si>
  <si>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</si>
  <si>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</si>
  <si>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</si>
  <si>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</si>
  <si>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</si>
  <si>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</si>
  <si>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</si>
  <si>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</si>
  <si>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</si>
  <si>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</si>
  <si>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</si>
  <si>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</si>
  <si>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</si>
  <si>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</si>
  <si>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</si>
  <si>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</si>
  <si>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</si>
  <si>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</si>
  <si>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</si>
  <si>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</si>
  <si>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</si>
  <si>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</si>
  <si>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</si>
  <si>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</si>
  <si>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</si>
  <si>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</si>
  <si>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</si>
  <si>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</si>
  <si>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</si>
  <si>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</si>
  <si>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</si>
  <si>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</si>
  <si>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</si>
  <si>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</si>
  <si>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</si>
  <si>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</si>
  <si>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</si>
  <si>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</si>
  <si>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</si>
  <si>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</si>
  <si>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</si>
  <si>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</si>
  <si>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</si>
  <si>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</si>
  <si>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</si>
  <si>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</si>
  <si>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</si>
  <si>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</si>
  <si>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</si>
  <si>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</si>
  <si>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</si>
  <si>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</si>
  <si>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</si>
  <si>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</si>
  <si>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</si>
  <si>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</si>
  <si>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</si>
  <si>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</si>
  <si>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</si>
  <si>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</si>
  <si>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</si>
  <si>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</si>
  <si>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</si>
  <si>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</si>
  <si>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</si>
  <si>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</si>
  <si>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</si>
  <si>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</si>
  <si>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</si>
  <si>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</si>
  <si>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</si>
  <si>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</si>
  <si>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</si>
  <si>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</si>
  <si>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</si>
  <si>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</si>
  <si>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</si>
  <si>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</si>
  <si>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</si>
  <si>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</si>
  <si>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</si>
  <si>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</si>
  <si>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</si>
  <si>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</si>
  <si>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</si>
  <si>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</si>
  <si>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</si>
  <si>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</si>
  <si>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</si>
  <si>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</si>
  <si>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</si>
  <si>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</si>
  <si>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</si>
  <si>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</si>
  <si>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</si>
  <si>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</si>
  <si>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</si>
  <si>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</si>
  <si>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</si>
  <si>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</si>
  <si>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</si>
  <si>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</si>
  <si>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</si>
  <si>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</si>
  <si>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</si>
  <si>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</si>
  <si>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</si>
  <si>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</si>
  <si>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</si>
  <si>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</si>
  <si>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</si>
  <si>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</si>
  <si>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</si>
  <si>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</si>
  <si>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</si>
  <si>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</si>
  <si>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</si>
  <si>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</si>
  <si>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</si>
  <si>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</si>
  <si>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</si>
  <si>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</si>
  <si>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</si>
  <si>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</si>
  <si>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</si>
  <si>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</si>
  <si>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</si>
  <si>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</si>
  <si>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</si>
  <si>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</si>
  <si>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</si>
  <si>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</si>
  <si>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</si>
  <si>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</si>
  <si>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</si>
  <si>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</si>
  <si>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</si>
  <si>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</si>
  <si>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</si>
  <si>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</si>
  <si>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</si>
  <si>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</si>
  <si>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</si>
  <si>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</si>
  <si>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</si>
  <si>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</si>
  <si>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</si>
  <si>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</si>
  <si>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</si>
  <si>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</si>
  <si>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</si>
  <si>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</si>
  <si>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</si>
  <si>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</si>
  <si>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</si>
  <si>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</si>
  <si>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</si>
  <si>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</si>
  <si>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</si>
  <si>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</si>
  <si>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</si>
  <si>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</si>
  <si>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</si>
  <si>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</si>
  <si>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</si>
  <si>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</si>
  <si>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</si>
  <si>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</si>
  <si>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</si>
  <si>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</si>
  <si>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</si>
  <si>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</si>
  <si>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</si>
  <si>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</si>
  <si>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</si>
  <si>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</si>
  <si>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</si>
  <si>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</si>
  <si>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</si>
  <si>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</si>
  <si>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</si>
  <si>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</si>
  <si>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</si>
  <si>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</si>
  <si>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</si>
  <si>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</si>
  <si>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</si>
  <si>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</si>
  <si>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</si>
  <si>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</si>
  <si>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</si>
  <si>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</si>
  <si>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</si>
  <si>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</si>
  <si>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</si>
  <si>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</si>
  <si>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</si>
  <si>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</si>
  <si>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</si>
  <si>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</si>
  <si>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</si>
  <si>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</si>
  <si>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</si>
  <si>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</si>
  <si>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</si>
  <si>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</si>
  <si>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</si>
  <si>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</si>
  <si>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</si>
  <si>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</si>
  <si>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</si>
  <si>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</si>
  <si>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</si>
  <si>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</si>
  <si>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</si>
  <si>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</si>
  <si>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</si>
  <si>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</si>
  <si>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</si>
  <si>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</si>
  <si>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</si>
  <si>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</si>
  <si>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</si>
  <si>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</si>
  <si>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</si>
  <si>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</si>
  <si>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</si>
  <si>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</si>
  <si>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</si>
  <si>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</si>
  <si>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</si>
  <si>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</si>
  <si>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</si>
  <si>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</si>
  <si>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</si>
  <si>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</si>
  <si>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</si>
  <si>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</si>
  <si>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</si>
  <si>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</si>
  <si>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</si>
  <si>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</si>
  <si>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</si>
  <si>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</si>
  <si>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</si>
  <si>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</si>
  <si>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</si>
  <si>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</si>
  <si>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</si>
  <si>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</si>
  <si>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</si>
  <si>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</si>
  <si>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</si>
  <si>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</si>
  <si>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</si>
  <si>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</si>
  <si>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</si>
  <si>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</si>
  <si>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</si>
  <si>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</si>
  <si>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</si>
  <si>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</si>
  <si>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</si>
  <si>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</si>
  <si>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</si>
  <si>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</si>
  <si>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</si>
  <si>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</si>
  <si>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</si>
  <si>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</si>
  <si>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</si>
  <si>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</si>
  <si>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</si>
  <si>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</si>
  <si>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</si>
  <si>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</si>
  <si>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</si>
  <si>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</si>
  <si>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</si>
  <si>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</si>
  <si>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</si>
  <si>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</si>
  <si>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</si>
  <si>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</si>
  <si>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</si>
  <si>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</si>
  <si>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</si>
  <si>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</si>
  <si>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</si>
  <si>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</si>
  <si>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</si>
  <si>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</si>
  <si>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</si>
  <si>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</si>
  <si>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</si>
  <si>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</si>
  <si>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</si>
  <si>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</si>
  <si>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</si>
  <si>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</si>
  <si>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</si>
  <si>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</si>
  <si>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</si>
  <si>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</si>
  <si>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</si>
  <si>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</si>
  <si>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</si>
  <si>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</si>
  <si>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</si>
  <si>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</si>
  <si>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</si>
  <si>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</si>
  <si>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</si>
  <si>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</si>
  <si>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</si>
  <si>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</si>
  <si>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</si>
  <si>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</si>
  <si>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</si>
  <si>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</si>
  <si>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</si>
  <si>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</si>
  <si>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</si>
  <si>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</si>
  <si>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</si>
  <si>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</si>
  <si>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</si>
  <si>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</si>
  <si>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</si>
  <si>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</si>
  <si>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</si>
  <si>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</si>
  <si>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</si>
  <si>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</si>
  <si>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</si>
  <si>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</si>
  <si>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</si>
  <si>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</si>
  <si>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</si>
  <si>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</si>
  <si>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</si>
  <si>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</si>
  <si>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</si>
  <si>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</si>
  <si>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</si>
  <si>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</si>
  <si>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</si>
  <si>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</si>
  <si>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</si>
  <si>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</si>
  <si>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</si>
  <si>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</si>
  <si>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</si>
  <si>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</si>
  <si>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</si>
  <si>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</si>
  <si>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</si>
  <si>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</si>
  <si>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</si>
  <si>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</si>
  <si>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</si>
  <si>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</si>
  <si>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</si>
  <si>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</si>
  <si>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</si>
  <si>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</si>
  <si>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</si>
  <si>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</si>
  <si>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</si>
  <si>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</si>
  <si>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</si>
  <si>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</si>
  <si>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</si>
  <si>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</si>
  <si>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</si>
  <si>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</si>
  <si>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</si>
  <si>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</si>
  <si>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</si>
  <si>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</si>
  <si>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</si>
  <si>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</si>
  <si>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</si>
  <si>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</si>
  <si>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</si>
  <si>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</si>
  <si>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</si>
  <si>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</si>
  <si>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</si>
  <si>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</si>
  <si>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</si>
  <si>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</si>
  <si>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</si>
  <si>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</si>
  <si>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</si>
  <si>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</si>
  <si>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</si>
  <si>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</si>
  <si>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</si>
  <si>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</si>
  <si>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</si>
  <si>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</si>
  <si>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</si>
  <si>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</si>
  <si>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</si>
  <si>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</si>
  <si>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</si>
  <si>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</si>
  <si>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</si>
  <si>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</si>
  <si>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</si>
  <si>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</si>
  <si>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</si>
  <si>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</si>
  <si>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</si>
  <si>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</si>
  <si>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</si>
  <si>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</si>
  <si>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</si>
  <si>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</si>
  <si>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</si>
  <si>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</si>
  <si>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</si>
  <si>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</si>
  <si>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</si>
  <si>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</si>
  <si>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</si>
  <si>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</si>
  <si>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</si>
  <si>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</si>
  <si>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</si>
  <si>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</si>
  <si>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</si>
  <si>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</si>
  <si>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</si>
  <si>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</si>
  <si>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</si>
  <si>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</si>
  <si>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</si>
  <si>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</si>
  <si>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</si>
  <si>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</si>
  <si>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</si>
  <si>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</si>
  <si>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</si>
  <si>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</si>
  <si>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</si>
  <si>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</si>
  <si>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</si>
  <si>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</si>
  <si>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</si>
  <si>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</si>
  <si>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</si>
  <si>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</si>
  <si>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</si>
  <si>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</si>
  <si>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</si>
  <si>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</si>
  <si>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</si>
  <si>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</si>
  <si>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</si>
  <si>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</si>
  <si>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</si>
  <si>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</si>
  <si>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</si>
  <si>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</si>
  <si>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</si>
  <si>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</si>
  <si>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</si>
  <si>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</si>
  <si>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</si>
  <si>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</si>
  <si>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</si>
  <si>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</si>
  <si>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</si>
  <si>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</si>
  <si>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</si>
  <si>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</si>
  <si>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</si>
  <si>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</si>
  <si>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</si>
  <si>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</si>
  <si>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</si>
  <si>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</si>
  <si>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</si>
  <si>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</si>
  <si>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</si>
  <si>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</si>
  <si>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</si>
  <si>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</si>
  <si>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</si>
  <si>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</si>
  <si>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</si>
  <si>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</si>
  <si>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</si>
  <si>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</si>
  <si>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</si>
  <si>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</si>
  <si>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</si>
  <si>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</si>
  <si>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</si>
  <si>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</si>
  <si>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</si>
  <si>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</si>
  <si>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</si>
  <si>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</si>
  <si>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</si>
  <si>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</si>
  <si>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</si>
  <si>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</si>
  <si>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</si>
  <si>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</si>
  <si>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</si>
  <si>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</si>
  <si>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</si>
  <si>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</si>
  <si>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</si>
  <si>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</si>
  <si>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</si>
  <si>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</si>
  <si>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</si>
  <si>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</si>
  <si>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</si>
  <si>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</si>
  <si>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</si>
  <si>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</si>
  <si>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</si>
  <si>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</si>
  <si>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</si>
  <si>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</si>
  <si>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</si>
  <si>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</si>
  <si>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</si>
  <si>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</si>
  <si>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</si>
  <si>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</si>
  <si>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</si>
  <si>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</si>
  <si>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</si>
  <si>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</si>
  <si>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</si>
  <si>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</si>
  <si>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</si>
  <si>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</si>
  <si>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</si>
  <si>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</si>
  <si>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</si>
  <si>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</si>
  <si>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</si>
  <si>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</si>
  <si>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</si>
  <si>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</si>
  <si>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</si>
  <si>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</si>
  <si>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</si>
  <si>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</si>
  <si>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</si>
  <si>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</si>
  <si>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</si>
  <si>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</si>
  <si>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</si>
  <si>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</si>
  <si>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</si>
  <si>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</si>
  <si>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</si>
  <si>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</si>
  <si>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</si>
  <si>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</si>
  <si>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</si>
  <si>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</si>
  <si>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</si>
  <si>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</si>
  <si>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</si>
  <si>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</si>
  <si>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</si>
  <si>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</si>
  <si>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</si>
  <si>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</si>
  <si>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</si>
  <si>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</si>
  <si>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</si>
  <si>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</si>
  <si>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</si>
  <si>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</si>
  <si>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</si>
  <si>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</si>
  <si>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</si>
  <si>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</si>
  <si>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</si>
  <si>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</si>
  <si>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</si>
  <si>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</si>
  <si>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</si>
  <si>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</si>
  <si>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</si>
  <si>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</si>
  <si>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</si>
  <si>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</si>
  <si>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</si>
  <si>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</si>
  <si>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</si>
  <si>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</si>
  <si>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</si>
  <si>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</si>
  <si>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</si>
  <si>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</si>
  <si>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</si>
  <si>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</si>
  <si>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</si>
  <si>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</si>
  <si>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</si>
  <si>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</si>
  <si>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</si>
  <si>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</si>
  <si>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</si>
  <si>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</si>
  <si>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</si>
  <si>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</si>
  <si>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</si>
  <si>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</si>
  <si>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</si>
  <si>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</si>
  <si>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</si>
  <si>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</si>
  <si>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</si>
  <si>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</si>
  <si>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</si>
  <si>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</si>
  <si>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</si>
  <si>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</si>
  <si>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</si>
  <si>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</si>
  <si>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</si>
  <si>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</si>
  <si>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</si>
  <si>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</si>
  <si>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</si>
  <si>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</si>
  <si>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</si>
  <si>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</si>
  <si>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</si>
  <si>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</si>
  <si>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</si>
  <si>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</si>
  <si>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</si>
  <si>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</si>
  <si>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</si>
  <si>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</si>
  <si>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</si>
  <si>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</si>
  <si>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</si>
  <si>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</si>
  <si>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</si>
  <si>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</si>
  <si>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</si>
  <si>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</si>
  <si>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</si>
  <si>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</si>
  <si>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</si>
  <si>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</si>
  <si>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</si>
  <si>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</si>
  <si>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</si>
  <si>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</si>
  <si>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</si>
  <si>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</si>
  <si>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</si>
  <si>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</si>
  <si>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</si>
  <si>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</si>
  <si>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</si>
  <si>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</si>
  <si>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</si>
  <si>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</si>
  <si>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</si>
  <si>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</si>
  <si>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</si>
  <si>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</si>
  <si>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</si>
  <si>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</si>
  <si>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</si>
  <si>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</si>
  <si>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</si>
  <si>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</si>
  <si>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</si>
  <si>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</si>
  <si>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</si>
  <si>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</si>
  <si>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</si>
  <si>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</si>
  <si>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</si>
  <si>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</si>
  <si>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</si>
  <si>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</si>
  <si>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</si>
  <si>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</si>
  <si>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</si>
  <si>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</si>
  <si>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</si>
  <si>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</si>
  <si>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</si>
  <si>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</si>
  <si>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</si>
  <si>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</si>
  <si>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</si>
  <si>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</si>
  <si>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</si>
  <si>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</si>
  <si>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</si>
  <si>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</si>
  <si>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</si>
  <si>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</si>
  <si>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</si>
  <si>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</si>
  <si>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</si>
  <si>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</si>
  <si>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</si>
  <si>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</si>
  <si>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</si>
  <si>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</si>
  <si>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</si>
  <si>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</si>
  <si>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</si>
  <si>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</si>
  <si>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</si>
  <si>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</si>
  <si>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</si>
  <si>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</si>
  <si>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</si>
  <si>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</si>
  <si>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</si>
  <si>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</si>
  <si>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</si>
  <si>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</si>
  <si>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</si>
  <si>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</si>
  <si>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</si>
  <si>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</si>
  <si>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</si>
  <si>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</si>
  <si>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</si>
  <si>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</si>
  <si>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</si>
  <si>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</si>
  <si>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</si>
  <si>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</si>
  <si>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</si>
  <si>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</si>
  <si>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</si>
  <si>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</si>
  <si>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</si>
  <si>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</si>
  <si>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</si>
  <si>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</si>
  <si>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</si>
  <si>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</si>
  <si>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</si>
  <si>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</si>
  <si>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</si>
  <si>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</si>
  <si>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</si>
  <si>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</si>
  <si>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</si>
  <si>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</si>
  <si>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</si>
  <si>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</si>
  <si>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</si>
  <si>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</si>
  <si>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</si>
  <si>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</si>
  <si>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</si>
  <si>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</si>
  <si>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</si>
  <si>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</si>
  <si>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</si>
  <si>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</si>
  <si>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</si>
  <si>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</si>
  <si>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</si>
  <si>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</si>
  <si>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</si>
  <si>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</si>
  <si>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</si>
  <si>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</si>
  <si>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</si>
  <si>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</si>
  <si>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</si>
  <si>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</si>
  <si>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</si>
  <si>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</si>
  <si>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</si>
  <si>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</si>
  <si>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</si>
  <si>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</si>
  <si>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</si>
  <si>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</si>
  <si>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</si>
  <si>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</si>
  <si>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</si>
  <si>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</si>
  <si>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</si>
  <si>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</si>
  <si>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</si>
  <si>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</si>
  <si>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</si>
  <si>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</si>
  <si>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</si>
  <si>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</si>
  <si>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</si>
  <si>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</si>
  <si>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</si>
  <si>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</si>
  <si>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</si>
  <si>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</si>
  <si>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</si>
  <si>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</si>
  <si>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</si>
  <si>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</si>
  <si>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</si>
  <si>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</si>
  <si>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</si>
  <si>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</si>
  <si>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</si>
  <si>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</si>
  <si>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</si>
  <si>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</si>
  <si>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</si>
  <si>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</si>
  <si>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</si>
  <si>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</si>
  <si>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</si>
  <si>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</si>
  <si>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</si>
  <si>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</si>
  <si>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</si>
  <si>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</si>
  <si>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</si>
  <si>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</si>
  <si>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</si>
  <si>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</si>
  <si>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</si>
  <si>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</si>
  <si>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</si>
  <si>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</si>
  <si>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</si>
  <si>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</si>
  <si>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</si>
  <si>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</si>
  <si>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</si>
  <si>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</si>
  <si>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</si>
  <si>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</si>
  <si>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</si>
  <si>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</si>
  <si>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</si>
  <si>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</si>
  <si>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</si>
  <si>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</si>
  <si>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</si>
  <si>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</si>
  <si>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</si>
  <si>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</si>
  <si>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</si>
  <si>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</si>
  <si>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</si>
  <si>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</si>
  <si>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</si>
  <si>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</si>
  <si>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</si>
  <si>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</si>
  <si>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</si>
  <si>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</si>
  <si>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</si>
  <si>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</si>
  <si>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</si>
  <si>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</si>
  <si>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</si>
  <si>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</si>
  <si>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</si>
  <si>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</si>
  <si>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</si>
  <si>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</si>
  <si>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</si>
  <si>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</si>
  <si>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</si>
  <si>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</si>
  <si>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</si>
  <si>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</si>
  <si>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</si>
  <si>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</si>
  <si>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</si>
  <si>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</si>
  <si>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</si>
  <si>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</si>
  <si>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</si>
  <si>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</si>
  <si>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</si>
  <si>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</si>
  <si>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</si>
  <si>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</si>
  <si>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</si>
  <si>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</si>
  <si>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</si>
  <si>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</si>
  <si>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</si>
  <si>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</si>
  <si>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</si>
  <si>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</si>
  <si>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</si>
  <si>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</si>
  <si>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</si>
  <si>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</si>
  <si>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</si>
  <si>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</si>
  <si>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</si>
  <si>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</si>
  <si>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</si>
  <si>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</si>
  <si>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</si>
  <si>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</si>
  <si>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</si>
  <si>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</si>
  <si>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</si>
  <si>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</si>
  <si>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</si>
  <si>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</si>
  <si>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</si>
  <si>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</si>
  <si>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</si>
  <si>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</si>
  <si>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</si>
  <si>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</si>
  <si>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</si>
  <si>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</si>
  <si>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</si>
  <si>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</si>
  <si>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</si>
  <si>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</si>
  <si>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</si>
  <si>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</si>
  <si>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</si>
  <si>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</si>
  <si>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</si>
  <si>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</si>
  <si>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</si>
  <si>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</si>
  <si>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</si>
  <si>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</si>
  <si>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</si>
  <si>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</si>
  <si>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</si>
  <si>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</si>
  <si>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</si>
  <si>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</si>
  <si>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</si>
  <si>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</si>
  <si>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</si>
  <si>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</si>
  <si>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</si>
  <si>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</si>
  <si>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</si>
  <si>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</si>
  <si>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</si>
  <si>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</si>
  <si>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</si>
  <si>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</si>
  <si>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</si>
  <si>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</si>
  <si>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</si>
  <si>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</si>
  <si>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</si>
  <si>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</si>
  <si>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</si>
  <si>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</si>
  <si>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</si>
  <si>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</si>
  <si>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</si>
  <si>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</si>
  <si>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</si>
  <si>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</si>
  <si>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</si>
  <si>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</si>
  <si>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</si>
  <si>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</si>
  <si>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</si>
  <si>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</si>
  <si>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</si>
  <si>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</si>
  <si>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</si>
  <si>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</si>
  <si>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</si>
  <si>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</si>
  <si>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</si>
  <si>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</si>
  <si>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</si>
  <si>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</si>
  <si>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</si>
  <si>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</si>
  <si>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</si>
  <si>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</si>
  <si>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</si>
  <si>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</si>
  <si>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</si>
  <si>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</si>
  <si>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</si>
  <si>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</si>
  <si>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</si>
  <si>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</si>
  <si>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</si>
  <si>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</si>
  <si>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</si>
  <si>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</si>
  <si>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</si>
  <si>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</si>
  <si>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</si>
  <si>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</si>
  <si>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</si>
  <si>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</si>
  <si>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</si>
  <si>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</si>
  <si>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</si>
  <si>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</si>
  <si>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</si>
  <si>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</si>
  <si>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</si>
  <si>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</si>
  <si>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</si>
  <si>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</si>
  <si>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</si>
  <si>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</si>
  <si>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</si>
  <si>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</si>
  <si>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</si>
  <si>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</si>
  <si>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</si>
  <si>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</si>
  <si>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</si>
  <si>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</si>
  <si>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</si>
  <si>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</si>
  <si>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</si>
  <si>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</si>
  <si>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</si>
  <si>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</si>
  <si>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</si>
  <si>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</si>
  <si>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</si>
  <si>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</si>
  <si>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</si>
  <si>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</si>
  <si>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</si>
  <si>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</si>
  <si>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</si>
  <si>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</si>
  <si>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</si>
  <si>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</si>
  <si>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</si>
  <si>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</si>
  <si>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</si>
  <si>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</si>
  <si>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</si>
  <si>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</si>
  <si>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</si>
  <si>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</si>
  <si>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</si>
  <si>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</si>
  <si>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</si>
  <si>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</si>
  <si>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</si>
  <si>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</si>
  <si>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</si>
  <si>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</si>
  <si>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</si>
  <si>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</si>
  <si>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</si>
  <si>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</si>
  <si>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</si>
  <si>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</si>
  <si>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</si>
  <si>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</si>
  <si>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</si>
  <si>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</si>
  <si>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</si>
  <si>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</si>
  <si>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</si>
  <si>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</si>
  <si>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</si>
  <si>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</si>
  <si>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</si>
  <si>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</si>
  <si>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</si>
  <si>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</si>
  <si>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</si>
  <si>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</si>
  <si>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</si>
  <si>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</si>
  <si>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</si>
  <si>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</si>
  <si>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</si>
  <si>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</si>
  <si>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</si>
  <si>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</si>
  <si>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</si>
  <si>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</si>
  <si>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</si>
  <si>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</si>
  <si>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</si>
  <si>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</si>
  <si>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</si>
  <si>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</si>
  <si>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</si>
  <si>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</si>
  <si>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</si>
  <si>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</si>
  <si>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</si>
  <si>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</si>
  <si>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</si>
  <si>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</si>
  <si>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</si>
  <si>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</si>
  <si>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</si>
  <si>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</si>
  <si>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</si>
  <si>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</si>
  <si>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</si>
  <si>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</si>
  <si>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</si>
  <si>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</si>
  <si>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</si>
  <si>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</si>
  <si>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</si>
  <si>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</si>
  <si>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</si>
  <si>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</si>
  <si>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</si>
  <si>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</si>
  <si>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</si>
  <si>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</si>
  <si>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</si>
  <si>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</si>
  <si>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</si>
  <si>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</si>
  <si>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</si>
  <si>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</si>
  <si>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</si>
  <si>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</si>
  <si>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</si>
  <si>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</si>
  <si>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</si>
  <si>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</si>
  <si>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</si>
  <si>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</si>
  <si>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</si>
  <si>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</si>
  <si>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</si>
  <si>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</si>
  <si>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</si>
  <si>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</si>
  <si>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</si>
  <si>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</si>
  <si>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</si>
  <si>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</si>
  <si>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</si>
  <si>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</si>
  <si>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</si>
  <si>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</si>
  <si>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</si>
  <si>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</si>
  <si>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</si>
  <si>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</si>
  <si>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</si>
  <si>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</si>
  <si>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</si>
  <si>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</si>
  <si>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</si>
  <si>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</si>
  <si>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</si>
  <si>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</si>
  <si>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</si>
  <si>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</si>
  <si>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</si>
  <si>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</si>
  <si>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</si>
  <si>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</si>
  <si>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</si>
  <si>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</si>
  <si>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</si>
  <si>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</si>
  <si>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</si>
  <si>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</si>
  <si>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</si>
  <si>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</si>
  <si>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</si>
  <si>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</si>
  <si>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</si>
  <si>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</si>
  <si>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</si>
  <si>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</si>
  <si>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</si>
  <si>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</si>
  <si>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</si>
  <si>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</si>
  <si>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</si>
  <si>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</si>
  <si>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</si>
  <si>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</si>
  <si>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</si>
  <si>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</si>
  <si>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</si>
  <si>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</si>
  <si>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</si>
  <si>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</si>
  <si>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</si>
  <si>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</si>
  <si>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</si>
  <si>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</si>
  <si>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</si>
  <si>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</si>
  <si>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</si>
  <si>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</si>
  <si>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</si>
  <si>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</si>
  <si>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</si>
  <si>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</si>
  <si>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</si>
  <si>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</si>
  <si>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</si>
  <si>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</si>
  <si>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</si>
  <si>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</si>
  <si>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</si>
  <si>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</si>
  <si>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</si>
  <si>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</si>
  <si>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</si>
  <si>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</si>
  <si>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</si>
  <si>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</si>
  <si>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</si>
  <si>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</si>
  <si>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</si>
  <si>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</si>
  <si>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</si>
  <si>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</si>
  <si>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</si>
  <si>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</si>
  <si>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</si>
  <si>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</si>
  <si>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</si>
  <si>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</si>
  <si>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</si>
  <si>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</si>
  <si>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</si>
  <si>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</si>
  <si>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</si>
  <si>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</si>
  <si>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</si>
  <si>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</si>
  <si>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</si>
  <si>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</si>
  <si>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</si>
  <si>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</si>
  <si>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</si>
  <si>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</si>
  <si>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</si>
  <si>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</si>
  <si>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</si>
  <si>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</si>
  <si>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</si>
  <si>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</si>
  <si>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</si>
  <si>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</si>
  <si>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</si>
  <si>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</si>
  <si>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</si>
  <si>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</si>
  <si>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</si>
  <si>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</si>
  <si>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</si>
  <si>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</si>
  <si>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</si>
  <si>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</si>
  <si>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</si>
  <si>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</si>
  <si>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</si>
  <si>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</si>
  <si>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</si>
  <si>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</si>
  <si>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</si>
  <si>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</si>
  <si>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</si>
  <si>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</si>
  <si>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</si>
  <si>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</si>
  <si>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</si>
  <si>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</si>
  <si>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</si>
  <si>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</si>
  <si>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</si>
  <si>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</si>
  <si>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</si>
  <si>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</si>
  <si>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</si>
  <si>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</si>
  <si>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</si>
  <si>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</si>
  <si>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</si>
  <si>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</si>
  <si>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</si>
  <si>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</si>
  <si>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</si>
  <si>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</si>
  <si>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</si>
  <si>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</si>
  <si>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</si>
  <si>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</si>
  <si>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</si>
  <si>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</si>
  <si>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</si>
  <si>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</si>
  <si>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</si>
  <si>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</si>
  <si>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</si>
  <si>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</si>
  <si>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</si>
  <si>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</si>
  <si>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</si>
  <si>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</si>
  <si>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</si>
  <si>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</si>
  <si>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</si>
  <si>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</si>
  <si>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</si>
  <si>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</si>
  <si>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</si>
  <si>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</si>
  <si>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</si>
  <si>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</si>
  <si>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</si>
  <si>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</si>
  <si>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</si>
  <si>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</si>
  <si>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</si>
  <si>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</si>
  <si>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</si>
  <si>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</si>
  <si>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</si>
  <si>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</si>
  <si>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</si>
  <si>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</si>
  <si>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</si>
  <si>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</si>
  <si>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</si>
  <si>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</si>
  <si>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</si>
  <si>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</si>
  <si>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</si>
  <si>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</si>
  <si>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</si>
  <si>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</si>
  <si>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</si>
  <si>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</si>
  <si>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</si>
  <si>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</si>
  <si>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</si>
  <si>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</si>
  <si>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</si>
  <si>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</si>
  <si>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</si>
  <si>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</si>
  <si>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</si>
  <si>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</si>
  <si>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</si>
  <si>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</si>
  <si>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</si>
  <si>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</si>
  <si>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</si>
  <si>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</si>
  <si>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</si>
  <si>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</si>
  <si>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</si>
  <si>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</si>
  <si>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</si>
  <si>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</si>
  <si>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</si>
  <si>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</si>
  <si>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</si>
  <si>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</si>
  <si>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</si>
  <si>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</si>
  <si>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</si>
  <si>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</si>
  <si>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</si>
  <si>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</si>
  <si>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</si>
  <si>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</si>
  <si>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</si>
  <si>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</si>
  <si>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</si>
  <si>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</si>
  <si>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</si>
  <si>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</si>
  <si>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</si>
  <si>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</si>
  <si>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</si>
  <si>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</si>
  <si>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</si>
  <si>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</si>
  <si>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</si>
  <si>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</si>
  <si>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</si>
  <si>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</si>
  <si>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</si>
  <si>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</si>
  <si>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</si>
  <si>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</si>
  <si>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</si>
  <si>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</si>
  <si>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</si>
  <si>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</si>
  <si>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</si>
  <si>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</si>
  <si>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</si>
  <si>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</si>
  <si>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</si>
  <si>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</si>
  <si>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</si>
  <si>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</si>
  <si>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</si>
  <si>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</si>
  <si>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</si>
  <si>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</si>
  <si>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</si>
  <si>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</si>
  <si>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</si>
  <si>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</si>
  <si>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</si>
  <si>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</si>
  <si>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</si>
  <si>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</si>
  <si>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</si>
  <si>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</si>
  <si>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</si>
  <si>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</si>
  <si>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</si>
  <si>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</si>
  <si>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</si>
  <si>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</si>
  <si>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</si>
  <si>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</si>
  <si>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</si>
  <si>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</si>
  <si>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</si>
  <si>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</si>
  <si>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</si>
  <si>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</si>
  <si>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</si>
  <si>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</si>
  <si>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</si>
  <si>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</si>
  <si>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</si>
  <si>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</si>
  <si>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</si>
  <si>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</si>
  <si>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</si>
  <si>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</si>
  <si>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</si>
  <si>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</si>
  <si>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</si>
  <si>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</si>
  <si>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</si>
  <si>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</si>
  <si>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</si>
  <si>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</si>
  <si>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</si>
  <si>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</si>
  <si>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</si>
  <si>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</si>
  <si>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</si>
  <si>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</si>
  <si>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</si>
  <si>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</si>
  <si>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</si>
  <si>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</si>
  <si>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</si>
  <si>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</si>
  <si>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</si>
  <si>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</si>
  <si>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</si>
  <si>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</si>
  <si>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</si>
  <si>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</si>
  <si>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</si>
  <si>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</si>
  <si>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</si>
  <si>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</si>
  <si>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</si>
  <si>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</si>
  <si>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</si>
  <si>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</si>
  <si>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</si>
  <si>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</si>
  <si>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</si>
  <si>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</si>
  <si>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</si>
  <si>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</si>
  <si>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</si>
  <si>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</si>
  <si>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</si>
  <si>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</si>
  <si>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</si>
  <si>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</si>
  <si>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</si>
  <si>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</si>
  <si>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</si>
  <si>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</si>
  <si>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</si>
  <si>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</si>
  <si>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</si>
  <si>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</si>
  <si>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</si>
  <si>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</si>
  <si>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</si>
  <si>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</si>
  <si>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</si>
  <si>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</si>
  <si>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</si>
  <si>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</si>
  <si>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</si>
  <si>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</si>
  <si>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</si>
  <si>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</si>
  <si>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</si>
  <si>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</si>
  <si>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</si>
  <si>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</si>
  <si>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</si>
  <si>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</si>
  <si>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</si>
  <si>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</si>
  <si>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</si>
  <si>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</si>
  <si>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</si>
  <si>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</si>
  <si>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</si>
  <si>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</si>
  <si>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</si>
  <si>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</si>
  <si>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</si>
  <si>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</si>
  <si>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</si>
  <si>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</si>
  <si>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</si>
  <si>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</si>
  <si>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</si>
  <si>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</si>
  <si>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</si>
  <si>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</si>
  <si>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</si>
  <si>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</si>
  <si>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</si>
  <si>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</si>
  <si>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</si>
  <si>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</si>
  <si>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</si>
  <si>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</si>
  <si>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</si>
  <si>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</si>
  <si>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</si>
  <si>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</si>
  <si>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</si>
  <si>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</si>
  <si>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</si>
  <si>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</si>
  <si>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</si>
  <si>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</si>
  <si>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</si>
  <si>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</si>
  <si>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</si>
  <si>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</si>
  <si>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</si>
  <si>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</si>
  <si>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</si>
  <si>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</si>
  <si>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</si>
  <si>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</si>
  <si>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</si>
  <si>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</si>
  <si>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</si>
  <si>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</si>
  <si>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</si>
  <si>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</si>
  <si>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</si>
  <si>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</si>
  <si>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</si>
  <si>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</si>
  <si>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</si>
  <si>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</si>
  <si>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</si>
  <si>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</si>
  <si>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</si>
  <si>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</si>
  <si>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</si>
  <si>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</si>
  <si>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</si>
  <si>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</si>
  <si>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</si>
  <si>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</si>
  <si>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</si>
  <si>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</si>
  <si>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</si>
  <si>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</si>
  <si>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</si>
  <si>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</si>
  <si>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</si>
  <si>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</si>
  <si>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</si>
  <si>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</si>
  <si>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</si>
  <si>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</si>
  <si>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</si>
  <si>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</si>
  <si>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</si>
  <si>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</si>
  <si>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</si>
  <si>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</si>
  <si>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</si>
  <si>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</si>
  <si>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</si>
  <si>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</si>
  <si>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</si>
  <si>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</si>
  <si>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</si>
  <si>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</si>
  <si>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</si>
  <si>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</si>
  <si>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</si>
  <si>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</si>
  <si>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</si>
  <si>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</si>
  <si>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</si>
  <si>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</si>
  <si>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</si>
  <si>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</si>
  <si>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</si>
  <si>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</si>
  <si>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</si>
  <si>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</si>
  <si>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</si>
  <si>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</si>
  <si>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</si>
  <si>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</si>
  <si>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</si>
  <si>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</si>
  <si>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</si>
  <si>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</si>
  <si>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</si>
  <si>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</si>
  <si>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</si>
  <si>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</si>
  <si>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</si>
  <si>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</si>
  <si>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</si>
  <si>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</si>
  <si>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</si>
  <si>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</si>
  <si>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</si>
  <si>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</si>
  <si>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</si>
  <si>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</si>
  <si>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</si>
  <si>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</si>
  <si>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</si>
  <si>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</si>
  <si>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</si>
  <si>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</si>
  <si>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</si>
  <si>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</si>
  <si>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</si>
  <si>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</si>
  <si>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</si>
  <si>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</si>
  <si>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</si>
  <si>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</si>
  <si>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</si>
  <si>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</si>
  <si>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</si>
  <si>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</si>
  <si>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</si>
  <si>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</si>
  <si>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</si>
  <si>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</si>
  <si>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</si>
  <si>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</si>
  <si>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</si>
  <si>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</si>
  <si>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</si>
  <si>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</si>
  <si>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</si>
  <si>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</si>
  <si>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</si>
  <si>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</si>
  <si>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</si>
  <si>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</si>
  <si>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</si>
  <si>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</si>
  <si>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</si>
  <si>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</si>
  <si>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</si>
  <si>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</si>
  <si>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</si>
  <si>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</si>
  <si>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</si>
  <si>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</si>
  <si>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</si>
  <si>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</si>
  <si>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</si>
  <si>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</si>
  <si>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</si>
  <si>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</si>
  <si>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</si>
  <si>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</si>
  <si>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</si>
  <si>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</si>
  <si>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</si>
  <si>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</si>
  <si>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</si>
  <si>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</si>
  <si>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</si>
  <si>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</si>
  <si>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</si>
  <si>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</si>
  <si>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</si>
  <si>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</si>
  <si>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</si>
  <si>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</si>
  <si>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</si>
  <si>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</si>
  <si>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</si>
  <si>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</si>
  <si>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</si>
  <si>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</si>
  <si>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</si>
  <si>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</si>
  <si>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</si>
  <si>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</si>
  <si>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</si>
  <si>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</si>
  <si>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</si>
  <si>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</si>
  <si>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</si>
  <si>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</si>
  <si>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</si>
  <si>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</si>
  <si>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</si>
  <si>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</si>
  <si>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</si>
  <si>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</si>
  <si>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</si>
  <si>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</si>
  <si>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</si>
  <si>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</si>
  <si>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</si>
  <si>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</si>
  <si>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</si>
  <si>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</si>
  <si>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</si>
  <si>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</si>
  <si>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</si>
  <si>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</si>
  <si>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</si>
  <si>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</si>
  <si>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</si>
  <si>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</si>
  <si>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</si>
  <si>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</si>
  <si>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</si>
  <si>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</si>
  <si>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</si>
  <si>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</si>
  <si>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</si>
  <si>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</si>
  <si>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</si>
  <si>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</si>
  <si>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</si>
  <si>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</si>
  <si>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</si>
  <si>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</si>
  <si>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</si>
  <si>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</si>
  <si>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</si>
  <si>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</si>
  <si>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</si>
  <si>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</si>
  <si>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</si>
  <si>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</si>
  <si>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</si>
  <si>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</si>
  <si>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</si>
  <si>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</si>
  <si>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</si>
  <si>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</si>
  <si>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</si>
  <si>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</si>
  <si>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</si>
  <si>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</si>
  <si>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</si>
  <si>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</si>
  <si>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</si>
  <si>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</si>
  <si>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</si>
  <si>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</si>
  <si>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</si>
  <si>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</si>
  <si>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</si>
  <si>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</si>
  <si>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</si>
  <si>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</si>
  <si>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</si>
  <si>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</si>
  <si>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</si>
  <si>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</si>
  <si>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</si>
  <si>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</si>
  <si>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</si>
  <si>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</si>
  <si>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</si>
  <si>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</si>
  <si>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</si>
  <si>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</si>
  <si>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</si>
  <si>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</si>
  <si>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</si>
  <si>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</si>
  <si>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</si>
  <si>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</si>
  <si>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</si>
  <si>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</si>
  <si>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</si>
  <si>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</si>
  <si>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</si>
  <si>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</si>
  <si>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</si>
  <si>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</si>
  <si>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</si>
  <si>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</si>
  <si>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</si>
  <si>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</si>
  <si>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</si>
  <si>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</si>
  <si>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</si>
  <si>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</si>
  <si>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</si>
  <si>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</si>
  <si>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</si>
  <si>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</si>
  <si>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</si>
  <si>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</si>
  <si>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</si>
  <si>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</si>
  <si>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</si>
  <si>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</si>
  <si>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</si>
  <si>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</si>
  <si>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</si>
  <si>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</si>
  <si>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</si>
  <si>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</si>
  <si>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</si>
  <si>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</si>
  <si>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</si>
  <si>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</si>
  <si>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</si>
  <si>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</si>
  <si>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</si>
  <si>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</si>
  <si>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</si>
  <si>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</si>
  <si>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</si>
  <si>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</si>
  <si>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</si>
  <si>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</si>
  <si>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</si>
  <si>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</si>
  <si>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</si>
  <si>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</si>
  <si>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</si>
  <si>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</si>
  <si>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</si>
  <si>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</si>
  <si>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</si>
  <si>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</si>
  <si>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</si>
  <si>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</si>
  <si>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</si>
  <si>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</si>
  <si>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</si>
  <si>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</si>
  <si>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</si>
  <si>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</si>
  <si>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</si>
  <si>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</si>
  <si>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</si>
  <si>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</si>
  <si>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</si>
  <si>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</si>
  <si>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</si>
  <si>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</si>
  <si>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</si>
  <si>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</si>
  <si>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</si>
  <si>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</si>
  <si>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</si>
  <si>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</si>
  <si>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</si>
  <si>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</si>
  <si>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</si>
  <si>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</si>
  <si>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</si>
  <si>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</si>
  <si>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</si>
  <si>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</si>
  <si>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</si>
  <si>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</si>
  <si>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</si>
  <si>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</si>
  <si>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</si>
  <si>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</si>
  <si>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</si>
  <si>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</si>
  <si>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</si>
  <si>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</si>
  <si>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</si>
  <si>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</si>
  <si>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</si>
  <si>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</si>
  <si>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</si>
  <si>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</si>
  <si>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</si>
  <si>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</si>
  <si>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</si>
  <si>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</si>
  <si>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</si>
  <si>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</si>
  <si>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</si>
  <si>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</si>
  <si>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</si>
  <si>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</si>
  <si>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</si>
  <si>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</si>
  <si>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</si>
  <si>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</si>
  <si>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</si>
  <si>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</si>
  <si>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</si>
  <si>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</si>
  <si>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</si>
  <si>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</si>
  <si>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</si>
  <si>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</si>
  <si>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</si>
  <si>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</si>
  <si>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</si>
  <si>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</si>
  <si>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</si>
  <si>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</si>
  <si>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</si>
  <si>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</si>
  <si>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</si>
  <si>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</si>
  <si>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</si>
  <si>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</si>
  <si>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</si>
  <si>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</si>
  <si>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</si>
  <si>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</si>
  <si>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</si>
  <si>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</si>
  <si>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</si>
  <si>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</si>
  <si>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</si>
  <si>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</si>
  <si>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</si>
  <si>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</si>
  <si>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</si>
  <si>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</si>
  <si>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</si>
  <si>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</si>
  <si>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</si>
  <si>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</si>
  <si>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</si>
  <si>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</si>
  <si>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</si>
  <si>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</si>
  <si>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</si>
  <si>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</si>
  <si>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</si>
  <si>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</si>
  <si>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</si>
  <si>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</si>
  <si>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</si>
  <si>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</si>
  <si>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</si>
  <si>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</si>
  <si>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</si>
  <si>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</si>
  <si>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</si>
  <si>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</si>
  <si>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</si>
  <si>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</si>
  <si>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</si>
  <si>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</si>
  <si>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</si>
  <si>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</si>
  <si>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</si>
  <si>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</si>
  <si>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</si>
  <si>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</si>
  <si>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</si>
  <si>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</si>
  <si>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</si>
  <si>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</si>
  <si>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</si>
  <si>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</si>
  <si>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</si>
  <si>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</si>
  <si>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</si>
  <si>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</si>
  <si>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</si>
  <si>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</si>
  <si>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</si>
  <si>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</si>
  <si>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</si>
  <si>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</si>
  <si>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</si>
  <si>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</si>
  <si>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</si>
  <si>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</si>
  <si>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</si>
  <si>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</si>
  <si>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</si>
  <si>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</si>
  <si>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</si>
  <si>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</si>
  <si>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</si>
  <si>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</si>
  <si>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</si>
  <si>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</si>
  <si>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</si>
  <si>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</si>
  <si>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</si>
  <si>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</si>
  <si>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</si>
  <si>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</si>
  <si>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</si>
  <si>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</si>
  <si>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</si>
  <si>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</si>
  <si>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</si>
  <si>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</si>
  <si>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</si>
  <si>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</si>
  <si>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</si>
  <si>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</si>
  <si>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</si>
  <si>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</si>
  <si>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</si>
  <si>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</si>
  <si>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</si>
  <si>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</si>
  <si>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</si>
  <si>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</si>
  <si>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</si>
  <si>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</si>
  <si>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</si>
  <si>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</si>
  <si>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</si>
  <si>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</si>
  <si>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</si>
  <si>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</si>
  <si>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</si>
  <si>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</si>
  <si>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</si>
  <si>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</si>
  <si>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</si>
  <si>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</si>
  <si>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</si>
  <si>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</si>
  <si>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</si>
  <si>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</si>
  <si>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</si>
  <si>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</si>
  <si>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</si>
  <si>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</si>
  <si>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</si>
  <si>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</si>
  <si>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</si>
  <si>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</si>
  <si>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</si>
  <si>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</si>
  <si>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</si>
  <si>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</si>
  <si>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</si>
  <si>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</si>
  <si>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</si>
  <si>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</si>
  <si>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</si>
  <si>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</si>
  <si>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</si>
  <si>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</si>
  <si>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</si>
  <si>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</si>
  <si>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</si>
  <si>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</si>
  <si>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</si>
  <si>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</si>
  <si>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</si>
  <si>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</si>
  <si>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</si>
  <si>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</si>
  <si>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</si>
  <si>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</si>
  <si>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</si>
  <si>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</si>
  <si>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</si>
  <si>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</si>
  <si>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</si>
  <si>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</si>
  <si>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</si>
  <si>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</si>
  <si>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</si>
  <si>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</si>
  <si>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</si>
  <si>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</si>
  <si>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</si>
  <si>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</si>
  <si>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</si>
  <si>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</si>
  <si>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</si>
  <si>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</si>
  <si>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</si>
  <si>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</si>
  <si>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</si>
  <si>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</si>
  <si>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</si>
  <si>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</si>
  <si>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</si>
  <si>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</si>
  <si>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</si>
  <si>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</si>
  <si>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</si>
  <si>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</si>
  <si>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</si>
  <si>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</si>
  <si>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</si>
  <si>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</si>
  <si>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</si>
  <si>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</si>
  <si>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</si>
  <si>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</si>
  <si>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</si>
  <si>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</si>
  <si>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</si>
  <si>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</si>
  <si>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</si>
  <si>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</si>
  <si>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</si>
  <si>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</si>
  <si>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</si>
  <si>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</si>
  <si>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</si>
  <si>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</si>
  <si>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</si>
  <si>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</si>
  <si>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</si>
  <si>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</si>
  <si>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</si>
  <si>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</si>
  <si>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</si>
  <si>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</si>
  <si>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</si>
  <si>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</si>
  <si>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</si>
  <si>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</si>
  <si>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</si>
  <si>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</si>
  <si>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</si>
  <si>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</si>
  <si>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</si>
  <si>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</si>
  <si>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</si>
  <si>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</si>
  <si>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</si>
  <si>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</si>
  <si>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</si>
  <si>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</si>
  <si>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</si>
  <si>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</si>
  <si>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</si>
  <si>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</si>
  <si>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</si>
  <si>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</si>
  <si>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</si>
  <si>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</si>
  <si>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</si>
  <si>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</si>
  <si>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</si>
  <si>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</si>
  <si>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</si>
  <si>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</si>
  <si>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</si>
  <si>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</si>
  <si>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</si>
  <si>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</si>
  <si>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</si>
  <si>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</si>
  <si>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</si>
  <si>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</si>
  <si>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</si>
  <si>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</si>
  <si>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</si>
  <si>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</si>
  <si>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</si>
  <si>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</si>
  <si>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</si>
  <si>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</si>
  <si>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</si>
  <si>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</si>
  <si>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</si>
  <si>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</si>
  <si>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</si>
  <si>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</si>
  <si>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</si>
  <si>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</si>
  <si>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</si>
  <si>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</si>
  <si>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</si>
  <si>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</si>
  <si>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</si>
  <si>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</si>
  <si>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</si>
  <si>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</si>
  <si>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</si>
  <si>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</si>
  <si>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</si>
  <si>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</si>
  <si>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</si>
  <si>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</si>
  <si>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</si>
  <si>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</si>
  <si>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</si>
  <si>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</si>
  <si>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</si>
  <si>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</si>
  <si>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</si>
  <si>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</si>
  <si>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</si>
  <si>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</si>
  <si>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</si>
  <si>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</si>
  <si>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</si>
  <si>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</si>
  <si>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</si>
  <si>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</si>
  <si>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</si>
  <si>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</si>
  <si>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</si>
  <si>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</si>
  <si>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</si>
  <si>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</si>
  <si>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</si>
  <si>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</si>
  <si>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</si>
  <si>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</si>
  <si>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</si>
  <si>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</si>
  <si>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</si>
  <si>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</si>
  <si>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</si>
  <si>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</si>
  <si>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</si>
  <si>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</si>
  <si>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</si>
  <si>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</si>
  <si>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</si>
  <si>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</si>
  <si>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</si>
  <si>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</si>
  <si>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</si>
  <si>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</si>
  <si>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</si>
  <si>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</si>
  <si>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</si>
  <si>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</si>
  <si>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</si>
  <si>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</si>
  <si>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</si>
  <si>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</si>
  <si>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</si>
  <si>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</si>
  <si>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</si>
  <si>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</si>
  <si>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</si>
  <si>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</si>
  <si>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</si>
  <si>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</si>
  <si>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</si>
  <si>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</si>
  <si>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</si>
  <si>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</si>
  <si>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</si>
  <si>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</si>
  <si>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</si>
  <si>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</si>
  <si>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</si>
  <si>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</si>
  <si>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</si>
  <si>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</si>
  <si>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</si>
  <si>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</si>
  <si>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</si>
  <si>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</si>
  <si>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</si>
  <si>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</si>
  <si>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</si>
  <si>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</si>
  <si>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</si>
  <si>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</si>
  <si>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</si>
  <si>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</si>
  <si>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</si>
  <si>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</si>
  <si>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</si>
  <si>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</si>
  <si>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</si>
  <si>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</si>
  <si>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</si>
  <si>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</si>
  <si>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</si>
  <si>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</si>
  <si>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</si>
  <si>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</si>
  <si>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</si>
  <si>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</si>
  <si>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</si>
  <si>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</si>
  <si>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</si>
  <si>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</si>
  <si>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</si>
  <si>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</si>
  <si>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</si>
  <si>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</si>
  <si>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</si>
  <si>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</si>
  <si>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</si>
  <si>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</si>
  <si>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</si>
  <si>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</si>
  <si>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</si>
  <si>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</si>
  <si>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</si>
  <si>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</si>
  <si>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</si>
  <si>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</si>
  <si>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</si>
  <si>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</si>
  <si>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</si>
  <si>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</si>
  <si>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</si>
  <si>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</si>
  <si>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</si>
  <si>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</si>
  <si>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</si>
  <si>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</si>
  <si>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</si>
  <si>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</si>
  <si>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</si>
  <si>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</si>
  <si>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</si>
  <si>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</si>
  <si>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</si>
  <si>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</si>
  <si>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</si>
  <si>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</si>
  <si>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</si>
  <si>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</si>
  <si>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</si>
  <si>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</si>
  <si>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</si>
  <si>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</si>
  <si>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</si>
  <si>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</si>
  <si>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</si>
  <si>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</si>
  <si>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</si>
  <si>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</si>
  <si>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</si>
  <si>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</si>
  <si>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</si>
  <si>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</si>
  <si>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</si>
  <si>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</si>
  <si>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</si>
  <si>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</si>
  <si>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</si>
  <si>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</si>
  <si>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</si>
  <si>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</si>
  <si>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</si>
  <si>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</si>
  <si>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</si>
  <si>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</si>
  <si>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</si>
  <si>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</si>
  <si>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</si>
  <si>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</si>
  <si>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</si>
  <si>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</si>
  <si>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</si>
  <si>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</si>
  <si>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</si>
  <si>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</si>
  <si>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</si>
  <si>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</si>
  <si>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</si>
  <si>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</si>
  <si>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</si>
  <si>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</si>
  <si>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</si>
  <si>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</si>
  <si>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</si>
  <si>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</si>
  <si>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</si>
  <si>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</si>
  <si>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</si>
  <si>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</si>
  <si>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</si>
  <si>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</si>
  <si>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</si>
  <si>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</si>
  <si>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</si>
  <si>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</si>
  <si>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</si>
  <si>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</si>
  <si>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</si>
  <si>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</si>
  <si>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</si>
  <si>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</si>
  <si>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</si>
  <si>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</si>
  <si>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</si>
  <si>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</si>
  <si>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</si>
  <si>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</si>
  <si>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</si>
  <si>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</si>
  <si>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</si>
  <si>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</si>
  <si>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</si>
  <si>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</si>
  <si>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</si>
  <si>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</si>
  <si>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</si>
  <si>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</si>
  <si>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</si>
  <si>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</si>
  <si>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</si>
  <si>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</si>
  <si>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</si>
  <si>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</si>
  <si>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</si>
  <si>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</si>
  <si>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</si>
  <si>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</si>
  <si>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</si>
  <si>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</si>
  <si>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</si>
  <si>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</si>
  <si>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</si>
  <si>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</si>
  <si>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</si>
  <si>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</si>
  <si>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</si>
  <si>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</si>
  <si>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</si>
  <si>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</si>
  <si>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</si>
  <si>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</si>
  <si>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</si>
  <si>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</si>
  <si>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</si>
  <si>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</si>
  <si>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</si>
  <si>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</si>
  <si>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</si>
  <si>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</si>
  <si>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</si>
  <si>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</si>
  <si>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</si>
  <si>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</si>
  <si>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</si>
  <si>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</si>
  <si>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</si>
  <si>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</si>
  <si>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</si>
  <si>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</si>
  <si>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</si>
  <si>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</si>
  <si>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</si>
  <si>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</si>
  <si>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</si>
  <si>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</si>
  <si>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</si>
  <si>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</si>
  <si>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</si>
  <si>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</si>
  <si>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</si>
  <si>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</si>
  <si>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</si>
  <si>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</si>
  <si>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</si>
  <si>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</si>
  <si>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</si>
  <si>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</si>
  <si>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</si>
  <si>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</si>
  <si>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</si>
  <si>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</si>
  <si>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</si>
  <si>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</si>
  <si>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</si>
  <si>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</si>
  <si>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</si>
  <si>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</si>
  <si>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</si>
  <si>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</si>
  <si>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</si>
  <si>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</si>
  <si>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</si>
  <si>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</si>
  <si>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</si>
  <si>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</si>
  <si>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</si>
  <si>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</si>
  <si>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</si>
  <si>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</si>
  <si>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</si>
  <si>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</si>
  <si>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</si>
  <si>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</si>
  <si>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</si>
  <si>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</si>
  <si>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</si>
  <si>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</si>
  <si>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</si>
  <si>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</si>
  <si>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</si>
  <si>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</si>
  <si>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</si>
  <si>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</si>
  <si>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</si>
  <si>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</si>
  <si>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</si>
  <si>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</si>
  <si>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</si>
  <si>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</si>
  <si>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</si>
  <si>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</si>
  <si>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</si>
  <si>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</si>
  <si>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</si>
  <si>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</si>
  <si>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</si>
  <si>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</si>
  <si>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</si>
  <si>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</si>
  <si>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</si>
  <si>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</si>
  <si>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</si>
  <si>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</si>
  <si>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</si>
  <si>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</si>
  <si>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</si>
  <si>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</si>
  <si>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</si>
  <si>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</si>
  <si>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</si>
  <si>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</si>
  <si>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</si>
  <si>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</si>
  <si>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</si>
  <si>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</si>
  <si>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</si>
  <si>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</si>
  <si>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</si>
  <si>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</si>
  <si>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</si>
  <si>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</si>
  <si>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</si>
  <si>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</si>
  <si>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</si>
  <si>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</si>
  <si>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</si>
  <si>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</si>
  <si>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</si>
  <si>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</si>
  <si>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</si>
  <si>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</si>
  <si>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</si>
  <si>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</si>
  <si>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</si>
  <si>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</si>
  <si>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</si>
  <si>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</si>
  <si>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</si>
  <si>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</si>
  <si>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</si>
  <si>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</si>
  <si>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</si>
  <si>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</si>
  <si>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</si>
  <si>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</si>
  <si>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</si>
  <si>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</si>
  <si>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</si>
  <si>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</si>
  <si>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</si>
  <si>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</si>
  <si>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</si>
  <si>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</si>
  <si>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</si>
  <si>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</si>
  <si>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</si>
  <si>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</si>
  <si>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</si>
  <si>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</si>
  <si>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</si>
  <si>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</si>
  <si>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</si>
  <si>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</si>
  <si>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</si>
  <si>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</si>
  <si>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</si>
  <si>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</si>
  <si>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</si>
  <si>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</si>
  <si>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</si>
  <si>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</si>
  <si>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</si>
  <si>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</si>
  <si>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</si>
  <si>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</si>
  <si>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</si>
  <si>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</si>
  <si>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</si>
  <si>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</si>
  <si>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</si>
  <si>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</si>
  <si>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</si>
  <si>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</si>
  <si>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</si>
  <si>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</si>
  <si>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</si>
  <si>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</si>
  <si>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</si>
  <si>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</si>
  <si>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</si>
  <si>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</si>
  <si>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</si>
  <si>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</si>
  <si>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</si>
  <si>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</si>
  <si>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</si>
  <si>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</si>
  <si>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</si>
  <si>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</si>
  <si>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</si>
  <si>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</si>
  <si>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</si>
  <si>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</si>
  <si>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</si>
  <si>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</si>
  <si>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</si>
  <si>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</si>
  <si>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</si>
  <si>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</si>
  <si>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</si>
  <si>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</si>
  <si>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</si>
  <si>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</si>
  <si>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</si>
  <si>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</si>
  <si>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</si>
  <si>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</si>
  <si>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</si>
  <si>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</si>
  <si>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</si>
  <si>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</si>
  <si>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</si>
  <si>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</si>
  <si>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</si>
  <si>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</si>
  <si>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</si>
  <si>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</si>
  <si>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</si>
  <si>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</si>
  <si>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</si>
  <si>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</si>
  <si>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</si>
  <si>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</si>
  <si>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</si>
  <si>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</si>
  <si>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</si>
  <si>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</si>
  <si>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</si>
  <si>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</si>
  <si>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</si>
  <si>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</si>
  <si>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</si>
  <si>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</si>
  <si>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</si>
  <si>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</si>
  <si>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</si>
  <si>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</si>
  <si>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</si>
  <si>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</si>
  <si>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</si>
  <si>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</si>
  <si>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</si>
  <si>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</si>
  <si>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</si>
  <si>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</si>
  <si>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</si>
  <si>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</si>
  <si>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</si>
  <si>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</si>
  <si>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</si>
  <si>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</si>
  <si>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</si>
  <si>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</si>
  <si>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</si>
  <si>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</si>
  <si>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</si>
  <si>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</si>
  <si>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</si>
  <si>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</si>
  <si>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</si>
  <si>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</si>
  <si>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</si>
  <si>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</si>
  <si>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</si>
  <si>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</si>
  <si>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</si>
  <si>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</si>
  <si>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</si>
  <si>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</si>
  <si>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</si>
  <si>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</si>
  <si>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</si>
  <si>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</si>
  <si>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</si>
  <si>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</si>
  <si>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</si>
  <si>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</si>
  <si>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</si>
  <si>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</si>
  <si>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</si>
  <si>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</si>
  <si>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</si>
  <si>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</si>
  <si>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</si>
  <si>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</si>
  <si>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</si>
  <si>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</si>
  <si>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</si>
  <si>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</si>
  <si>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</si>
  <si>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</si>
  <si>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</si>
  <si>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</si>
  <si>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</si>
  <si>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</si>
  <si>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</si>
  <si>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</si>
  <si>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</si>
  <si>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</si>
  <si>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</si>
  <si>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</si>
  <si>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</si>
  <si>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</si>
  <si>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</si>
  <si>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</si>
  <si>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</si>
  <si>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</si>
  <si>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</si>
  <si>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</si>
  <si>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</si>
  <si>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</si>
  <si>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</si>
  <si>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</si>
  <si>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</si>
  <si>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</si>
  <si>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</si>
  <si>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</si>
  <si>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</si>
  <si>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</si>
  <si>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</si>
  <si>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</si>
  <si>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</si>
  <si>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</si>
  <si>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</si>
  <si>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</si>
  <si>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</si>
  <si>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</si>
  <si>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</si>
  <si>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</si>
  <si>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</si>
  <si>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</si>
  <si>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</si>
  <si>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</si>
  <si>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</si>
  <si>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</si>
  <si>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</si>
  <si>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</si>
  <si>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</si>
  <si>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</si>
  <si>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</si>
  <si>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</si>
  <si>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</si>
  <si>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</si>
  <si>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</si>
  <si>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</si>
  <si>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</si>
  <si>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</si>
  <si>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</si>
  <si>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</si>
  <si>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</si>
  <si>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</si>
  <si>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</si>
  <si>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</si>
  <si>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</si>
  <si>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</si>
  <si>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</si>
  <si>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</si>
  <si>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</si>
  <si>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</si>
  <si>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</si>
  <si>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</si>
  <si>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</si>
  <si>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</si>
  <si>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</si>
  <si>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</si>
  <si>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</si>
  <si>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</si>
  <si>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</si>
  <si>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</si>
  <si>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</si>
  <si>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</si>
  <si>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</si>
  <si>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</si>
  <si>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</si>
  <si>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</si>
  <si>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</si>
  <si>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</si>
  <si>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</si>
  <si>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</si>
  <si>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</si>
  <si>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</si>
  <si>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</si>
  <si>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</si>
  <si>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</si>
  <si>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</si>
  <si>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</si>
  <si>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</si>
  <si>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</si>
  <si>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</si>
  <si>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</si>
  <si>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</si>
  <si>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</si>
  <si>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</si>
  <si>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</si>
  <si>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</si>
  <si>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</si>
  <si>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</si>
  <si>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</si>
  <si>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</si>
  <si>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</si>
  <si>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</si>
  <si>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</si>
  <si>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</si>
  <si>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</si>
  <si>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</si>
  <si>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</si>
  <si>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</si>
  <si>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</si>
  <si>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</si>
  <si>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</si>
  <si>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</si>
  <si>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</si>
  <si>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</si>
  <si>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</si>
  <si>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</si>
  <si>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</si>
  <si>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</si>
  <si>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</si>
  <si>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</si>
  <si>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</si>
  <si>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</si>
  <si>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</si>
  <si>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</si>
  <si>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</si>
  <si>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</si>
  <si>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</si>
  <si>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</si>
  <si>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</si>
  <si>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</si>
  <si>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</si>
  <si>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</si>
  <si>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</si>
  <si>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</si>
  <si>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</si>
  <si>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</si>
  <si>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</si>
  <si>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</si>
  <si>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</si>
  <si>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</si>
  <si>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</si>
  <si>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</si>
  <si>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</si>
  <si>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</si>
  <si>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</si>
  <si>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</si>
  <si>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</si>
  <si>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</si>
  <si>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</si>
  <si>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</si>
  <si>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</si>
  <si>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</si>
  <si>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</si>
  <si>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</si>
  <si>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</si>
  <si>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</si>
  <si>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</si>
  <si>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</si>
  <si>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</si>
  <si>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</si>
  <si>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</si>
  <si>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</si>
  <si>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</si>
  <si>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</si>
  <si>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</si>
  <si>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</si>
  <si>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</si>
  <si>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</si>
  <si>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</si>
  <si>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</si>
  <si>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</si>
  <si>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</si>
  <si>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</si>
  <si>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</si>
  <si>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</si>
  <si>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</si>
  <si>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</si>
  <si>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</si>
  <si>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</si>
  <si>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</si>
  <si>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</si>
  <si>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</si>
  <si>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</si>
  <si>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</si>
  <si>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</si>
  <si>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</si>
  <si>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</si>
  <si>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</si>
  <si>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</si>
  <si>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</si>
  <si>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</si>
  <si>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</si>
  <si>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</si>
  <si>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</si>
  <si>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</si>
  <si>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</si>
  <si>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</si>
  <si>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</si>
  <si>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</si>
  <si>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</si>
  <si>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</si>
  <si>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</si>
  <si>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</si>
  <si>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</si>
  <si>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</si>
  <si>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</si>
  <si>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</si>
  <si>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</si>
  <si>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</si>
  <si>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</si>
  <si>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</si>
  <si>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</si>
  <si>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</si>
  <si>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</si>
  <si>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</si>
  <si>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</si>
  <si>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</si>
  <si>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</si>
  <si>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</si>
  <si>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</si>
  <si>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</si>
  <si>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</si>
  <si>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</si>
  <si>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</si>
  <si>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</si>
  <si>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</si>
  <si>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</si>
  <si>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</si>
  <si>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</si>
  <si>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</si>
  <si>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</si>
  <si>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</si>
  <si>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</si>
  <si>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</si>
  <si>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</si>
  <si>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</si>
  <si>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</si>
  <si>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</si>
  <si>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</si>
  <si>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</si>
  <si>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</si>
  <si>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</si>
  <si>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</si>
  <si>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</si>
  <si>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</si>
  <si>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</si>
  <si>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</si>
  <si>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</si>
  <si>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</si>
  <si>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</si>
  <si>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</si>
  <si>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</si>
  <si>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</si>
  <si>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</si>
  <si>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</si>
  <si>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</si>
  <si>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</si>
  <si>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</si>
  <si>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</si>
  <si>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</si>
  <si>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</si>
  <si>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</si>
  <si>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</si>
  <si>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</si>
  <si>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</si>
  <si>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</si>
  <si>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</si>
  <si>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</si>
  <si>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</si>
  <si>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</si>
  <si>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</si>
  <si>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</si>
  <si>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</si>
  <si>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</si>
  <si>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</si>
  <si>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</si>
  <si>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</si>
  <si>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</si>
  <si>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</si>
  <si>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</si>
  <si>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</si>
  <si>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</si>
  <si>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</si>
  <si>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</si>
  <si>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</si>
  <si>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</si>
  <si>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</si>
  <si>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</si>
  <si>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</si>
  <si>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</si>
  <si>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</si>
  <si>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</si>
  <si>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</si>
  <si>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</si>
  <si>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</si>
  <si>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</si>
  <si>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</si>
  <si>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</si>
  <si>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</si>
  <si>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</si>
  <si>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</si>
  <si>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</si>
  <si>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</si>
  <si>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</si>
  <si>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</si>
  <si>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</si>
  <si>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</si>
  <si>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</si>
  <si>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</si>
  <si>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</si>
  <si>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</si>
  <si>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</si>
  <si>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</si>
  <si>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</si>
  <si>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</si>
  <si>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</si>
  <si>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</si>
  <si>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</si>
  <si>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</si>
  <si>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</si>
  <si>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</si>
  <si>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</si>
  <si>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</si>
  <si>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</si>
  <si>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</si>
  <si>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</si>
  <si>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</si>
  <si>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</si>
  <si>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</si>
  <si>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</si>
  <si>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</si>
  <si>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</si>
  <si>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</si>
  <si>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</si>
  <si>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</si>
  <si>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</si>
  <si>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</si>
  <si>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</si>
  <si>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</si>
  <si>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</si>
  <si>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</si>
  <si>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</si>
  <si>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</si>
  <si>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</si>
  <si>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</si>
  <si>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</si>
  <si>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</si>
  <si>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</si>
  <si>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</si>
  <si>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</si>
  <si>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</si>
  <si>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</si>
  <si>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</si>
  <si>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</si>
  <si>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</si>
  <si>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</si>
  <si>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</si>
  <si>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</si>
  <si>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</si>
  <si>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</si>
  <si>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</si>
  <si>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</si>
  <si>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</si>
  <si>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</si>
  <si>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</si>
  <si>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</si>
  <si>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</si>
  <si>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</si>
  <si>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</si>
  <si>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</si>
  <si>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</si>
  <si>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</si>
  <si>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</si>
  <si>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</si>
  <si>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</si>
  <si>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</si>
  <si>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</si>
  <si>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</si>
  <si>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</si>
  <si>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</si>
  <si>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</si>
  <si>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</si>
  <si>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</si>
  <si>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</si>
  <si>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</si>
  <si>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</si>
  <si>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</si>
  <si>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</si>
  <si>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</si>
  <si>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</si>
  <si>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</si>
  <si>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</si>
  <si>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</si>
  <si>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</si>
  <si>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</si>
  <si>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</si>
  <si>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</si>
  <si>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</si>
  <si>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</si>
  <si>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</si>
  <si>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</si>
  <si>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</si>
  <si>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</si>
  <si>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</si>
  <si>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</si>
  <si>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</si>
  <si>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</si>
  <si>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</si>
  <si>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</si>
  <si>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</si>
  <si>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</si>
  <si>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</si>
  <si>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</si>
  <si>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</si>
  <si>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</si>
  <si>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</si>
  <si>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</si>
  <si>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</si>
  <si>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</si>
  <si>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</si>
  <si>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</si>
  <si>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</si>
  <si>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</si>
  <si>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</si>
  <si>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</si>
  <si>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</si>
  <si>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</si>
  <si>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</si>
  <si>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</si>
  <si>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</si>
  <si>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</si>
  <si>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</si>
  <si>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</si>
  <si>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</si>
  <si>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</si>
  <si>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</si>
  <si>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</si>
  <si>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</si>
  <si>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</si>
  <si>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</si>
  <si>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</si>
  <si>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</si>
  <si>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</si>
  <si>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</si>
  <si>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</si>
  <si>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</si>
  <si>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</si>
  <si>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</si>
  <si>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</si>
  <si>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</si>
  <si>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</si>
  <si>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</si>
  <si>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</si>
  <si>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</si>
  <si>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</si>
  <si>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</si>
  <si>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</si>
  <si>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</si>
  <si>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</si>
  <si>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</si>
  <si>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</si>
  <si>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</si>
  <si>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</si>
  <si>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</si>
  <si>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</si>
  <si>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</si>
  <si>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</si>
  <si>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</si>
  <si>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</si>
  <si>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</si>
  <si>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</si>
  <si>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</si>
  <si>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</si>
  <si>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</si>
  <si>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</si>
  <si>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</si>
  <si>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</si>
  <si>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</si>
  <si>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</si>
  <si>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</si>
  <si>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</si>
  <si>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</si>
  <si>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</si>
  <si>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</si>
  <si>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</si>
  <si>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</si>
  <si>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</si>
  <si>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</si>
  <si>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</si>
  <si>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</si>
  <si>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</si>
  <si>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</si>
  <si>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</si>
  <si>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</si>
  <si>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</si>
  <si>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</si>
  <si>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</si>
  <si>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</si>
  <si>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</si>
  <si>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</si>
  <si>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</si>
  <si>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</si>
  <si>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</si>
  <si>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</si>
  <si>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</si>
  <si>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</si>
  <si>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</si>
  <si>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</si>
  <si>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</si>
  <si>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</si>
  <si>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</si>
  <si>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</si>
  <si>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</si>
  <si>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</si>
  <si>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</si>
  <si>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</si>
  <si>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</si>
  <si>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</si>
  <si>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</si>
  <si>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</si>
  <si>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</si>
  <si>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</si>
  <si>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</si>
  <si>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</si>
  <si>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</si>
  <si>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</si>
  <si>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</si>
  <si>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</si>
  <si>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</si>
  <si>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</si>
  <si>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</si>
  <si>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</si>
  <si>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</si>
  <si>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</si>
  <si>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</si>
  <si>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</si>
  <si>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</si>
  <si>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</si>
  <si>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</si>
  <si>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</si>
  <si>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</si>
  <si>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</si>
  <si>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</si>
  <si>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</si>
  <si>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</si>
  <si>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</si>
  <si>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</si>
  <si>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</si>
  <si>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</si>
  <si>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</si>
  <si>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</si>
  <si>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</si>
  <si>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</si>
  <si>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</si>
  <si>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</si>
  <si>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</si>
  <si>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</si>
  <si>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</si>
  <si>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</si>
  <si>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</si>
  <si>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</si>
  <si>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</si>
  <si>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</si>
  <si>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</si>
  <si>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</si>
  <si>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</si>
  <si>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</si>
  <si>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</si>
  <si>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</si>
  <si>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</si>
  <si>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</si>
  <si>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</si>
  <si>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</si>
  <si>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</si>
  <si>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</si>
  <si>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</si>
  <si>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</si>
  <si>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</si>
  <si>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</si>
  <si>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</si>
  <si>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</si>
  <si>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</si>
  <si>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</si>
  <si>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</si>
  <si>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</si>
  <si>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</si>
  <si>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</si>
  <si>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</si>
  <si>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</si>
  <si>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</si>
  <si>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</si>
  <si>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</si>
  <si>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</si>
  <si>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</si>
  <si>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</si>
  <si>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</si>
  <si>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</si>
  <si>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</si>
  <si>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</si>
  <si>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</si>
  <si>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</si>
  <si>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</si>
  <si>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</si>
  <si>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</si>
  <si>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</si>
  <si>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</si>
  <si>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</si>
  <si>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</si>
  <si>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</si>
  <si>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</si>
  <si>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</si>
  <si>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</si>
  <si>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</si>
  <si>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</si>
  <si>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</si>
  <si>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</si>
  <si>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</si>
  <si>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</si>
  <si>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</si>
  <si>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</si>
  <si>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</si>
  <si>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</si>
  <si>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</si>
  <si>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</si>
  <si>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</si>
  <si>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</si>
  <si>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</si>
  <si>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</si>
  <si>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</si>
  <si>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</si>
  <si>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</si>
  <si>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</si>
  <si>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</si>
  <si>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</si>
  <si>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</si>
  <si>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</si>
  <si>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</si>
  <si>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</si>
  <si>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</si>
  <si>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</si>
  <si>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</si>
  <si>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</si>
  <si>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</si>
  <si>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</si>
  <si>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</si>
  <si>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</si>
  <si>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</si>
  <si>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</si>
  <si>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</si>
  <si>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</si>
  <si>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</si>
  <si>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</si>
  <si>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</si>
  <si>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</si>
  <si>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</si>
  <si>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</si>
  <si>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</si>
  <si>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</si>
  <si>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</si>
  <si>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</si>
  <si>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</si>
  <si>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</si>
  <si>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</si>
  <si>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</si>
  <si>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</si>
  <si>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</si>
  <si>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</si>
  <si>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</si>
  <si>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</si>
  <si>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</si>
  <si>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</si>
  <si>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</si>
  <si>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</si>
  <si>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</si>
  <si>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</si>
  <si>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</si>
  <si>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</si>
  <si>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</si>
  <si>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</si>
  <si>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</si>
  <si>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</si>
  <si>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</si>
  <si>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</si>
  <si>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</si>
  <si>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</si>
  <si>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</si>
  <si>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</si>
  <si>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</si>
  <si>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</si>
  <si>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</si>
  <si>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</si>
  <si>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</si>
  <si>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</si>
  <si>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</si>
  <si>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</si>
  <si>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</si>
  <si>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</si>
  <si>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</si>
  <si>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</si>
  <si>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</si>
  <si>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</si>
  <si>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</si>
  <si>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</si>
  <si>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</si>
  <si>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</si>
  <si>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</si>
  <si>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</si>
  <si>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</si>
  <si>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</si>
  <si>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</si>
  <si>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</si>
  <si>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</si>
  <si>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</si>
  <si>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</si>
  <si>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</si>
  <si>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</si>
  <si>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</si>
  <si>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</si>
  <si>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</si>
  <si>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</si>
  <si>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</si>
  <si>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</si>
  <si>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</si>
  <si>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</si>
  <si>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</si>
  <si>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</si>
  <si>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</si>
  <si>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</si>
  <si>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</si>
  <si>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</si>
  <si>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</si>
  <si>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</si>
  <si>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</si>
  <si>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</si>
  <si>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</si>
  <si>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</si>
  <si>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</si>
  <si>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</si>
  <si>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</si>
  <si>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</si>
  <si>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</si>
  <si>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</si>
  <si>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</si>
  <si>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</si>
  <si>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</si>
  <si>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</si>
  <si>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</si>
  <si>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</si>
  <si>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</si>
  <si>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</si>
  <si>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</si>
  <si>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</si>
  <si>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</si>
  <si>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</si>
  <si>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</si>
  <si>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</si>
  <si>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</si>
  <si>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</si>
  <si>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</si>
  <si>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</si>
  <si>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</si>
  <si>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</si>
  <si>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</si>
  <si>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</si>
  <si>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</si>
  <si>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</si>
  <si>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</si>
  <si>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</si>
  <si>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</si>
  <si>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</si>
  <si>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</si>
  <si>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</si>
  <si>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</si>
  <si>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</si>
  <si>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</si>
  <si>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</si>
  <si>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</si>
  <si>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</si>
  <si>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</si>
  <si>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</si>
  <si>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</si>
  <si>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</si>
  <si>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</si>
  <si>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</si>
  <si>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</si>
  <si>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</si>
  <si>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</si>
  <si>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</si>
  <si>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</si>
  <si>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</si>
  <si>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</si>
  <si>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</si>
  <si>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</si>
  <si>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</si>
  <si>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</si>
  <si>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</si>
  <si>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</si>
  <si>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</si>
  <si>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</si>
  <si>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</si>
  <si>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</si>
  <si>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</si>
  <si>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</si>
  <si>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</si>
  <si>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</si>
  <si>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</si>
  <si>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</si>
  <si>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</si>
  <si>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</si>
  <si>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</si>
  <si>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</si>
  <si>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</si>
  <si>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</si>
  <si>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</si>
  <si>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</si>
  <si>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</si>
  <si>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</si>
  <si>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</si>
  <si>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</si>
  <si>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</si>
  <si>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</si>
  <si>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</si>
  <si>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</si>
  <si>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</si>
  <si>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</si>
  <si>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</si>
  <si>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</si>
  <si>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</si>
  <si>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</si>
  <si>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</si>
  <si>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</si>
  <si>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</si>
  <si>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</si>
  <si>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</si>
  <si>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</si>
  <si>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</si>
  <si>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</si>
  <si>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</si>
  <si>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</si>
  <si>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</si>
  <si>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</si>
  <si>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</si>
  <si>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</si>
  <si>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</si>
  <si>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</si>
  <si>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</si>
  <si>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</si>
  <si>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</si>
  <si>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</si>
  <si>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</si>
  <si>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</si>
  <si>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</si>
  <si>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</si>
  <si>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</si>
  <si>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</si>
  <si>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</si>
  <si>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</si>
  <si>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</si>
  <si>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</si>
  <si>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</si>
  <si>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</si>
  <si>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</si>
  <si>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</si>
  <si>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</si>
  <si>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</si>
  <si>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</si>
  <si>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</si>
  <si>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</si>
  <si>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</si>
  <si>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</si>
  <si>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</si>
  <si>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</si>
  <si>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</si>
  <si>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</si>
  <si>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</si>
  <si>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</si>
  <si>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</si>
  <si>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</si>
  <si>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</si>
  <si>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</si>
  <si>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</si>
  <si>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</si>
  <si>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</si>
  <si>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</si>
  <si>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</si>
  <si>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</si>
  <si>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</si>
  <si>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</si>
  <si>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</si>
  <si>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</si>
  <si>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</si>
  <si>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</si>
  <si>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</si>
  <si>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</si>
  <si>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</si>
  <si>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</si>
  <si>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</si>
  <si>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</si>
  <si>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</si>
  <si>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</si>
  <si>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</si>
  <si>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</si>
  <si>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</si>
  <si>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</si>
  <si>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</si>
  <si>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</si>
  <si>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</si>
  <si>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</si>
  <si>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</si>
  <si>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</si>
  <si>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</si>
  <si>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</si>
  <si>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</si>
  <si>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</si>
  <si>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</si>
  <si>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</si>
  <si>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</si>
  <si>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</si>
  <si>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</si>
  <si>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</si>
  <si>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</si>
  <si>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</si>
  <si>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</si>
  <si>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</si>
  <si>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</si>
  <si>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</si>
  <si>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</si>
  <si>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</si>
  <si>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</si>
  <si>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</si>
  <si>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</si>
  <si>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</si>
  <si>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</si>
  <si>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</si>
  <si>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</si>
  <si>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</si>
  <si>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</si>
  <si>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</si>
  <si>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</si>
  <si>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</si>
  <si>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</si>
  <si>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</si>
  <si>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</si>
  <si>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</si>
  <si>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</si>
  <si>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</si>
  <si>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</si>
  <si>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</si>
  <si>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</si>
  <si>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</si>
  <si>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</si>
  <si>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</si>
  <si>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</si>
  <si>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</si>
  <si>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</si>
  <si>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</si>
  <si>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</si>
  <si>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</si>
  <si>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</si>
  <si>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</si>
  <si>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</si>
  <si>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</si>
  <si>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</si>
  <si>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</si>
  <si>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</si>
  <si>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</si>
  <si>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</si>
  <si>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</si>
  <si>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</si>
  <si>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</si>
  <si>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</si>
  <si>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</si>
  <si>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</si>
  <si>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</si>
  <si>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</si>
  <si>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</si>
  <si>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</si>
  <si>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</si>
  <si>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</si>
  <si>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</si>
  <si>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</si>
  <si>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</si>
  <si>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</si>
  <si>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</si>
  <si>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</si>
  <si>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</si>
  <si>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</si>
  <si>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</si>
  <si>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</si>
  <si>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</si>
  <si>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</si>
  <si>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</si>
  <si>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</si>
  <si>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</si>
  <si>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</si>
  <si>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</si>
  <si>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</si>
  <si>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</si>
  <si>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</si>
  <si>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</si>
  <si>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</si>
  <si>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</si>
  <si>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</si>
  <si>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</si>
  <si>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</si>
  <si>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</si>
  <si>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</si>
  <si>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</si>
  <si>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</si>
  <si>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</si>
  <si>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</si>
  <si>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</si>
  <si>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</si>
  <si>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</si>
  <si>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</si>
  <si>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</si>
  <si>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</si>
  <si>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</si>
  <si>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</si>
  <si>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</si>
  <si>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</si>
  <si>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</si>
  <si>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</si>
  <si>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</si>
  <si>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</si>
  <si>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</si>
  <si>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</si>
  <si>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</si>
  <si>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</si>
  <si>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</si>
  <si>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</si>
  <si>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</si>
  <si>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</si>
  <si>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</si>
  <si>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</si>
  <si>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</si>
  <si>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</si>
  <si>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</si>
  <si>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</si>
  <si>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</si>
  <si>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</si>
  <si>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</si>
  <si>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</si>
  <si>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</si>
  <si>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</si>
  <si>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</si>
  <si>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</si>
  <si>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</si>
  <si>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</si>
  <si>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</si>
  <si>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</si>
  <si>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</si>
  <si>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</si>
  <si>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</si>
  <si>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</si>
  <si>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</si>
  <si>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</si>
  <si>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</si>
  <si>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</si>
  <si>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</si>
  <si>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</si>
  <si>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</si>
  <si>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</si>
  <si>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</si>
  <si>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</si>
  <si>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</si>
  <si>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</si>
  <si>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</si>
  <si>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</si>
  <si>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</si>
  <si>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</si>
  <si>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</si>
  <si>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</si>
  <si>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</si>
  <si>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</si>
  <si>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</si>
  <si>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</si>
  <si>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</si>
  <si>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</si>
  <si>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</si>
  <si>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</si>
  <si>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</si>
  <si>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</si>
  <si>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</si>
  <si>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</si>
  <si>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</si>
  <si>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</si>
  <si>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</si>
  <si>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</si>
  <si>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</si>
  <si>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</si>
  <si>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</si>
  <si>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</si>
  <si>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</si>
  <si>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</si>
  <si>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</si>
  <si>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</si>
  <si>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</si>
  <si>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</si>
  <si>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</si>
  <si>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</si>
  <si>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</si>
  <si>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</si>
  <si>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</si>
  <si>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</si>
  <si>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</si>
  <si>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</si>
  <si>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</si>
  <si>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</si>
  <si>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</si>
  <si>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</si>
  <si>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</si>
  <si>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</si>
  <si>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</si>
  <si>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</si>
  <si>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</si>
  <si>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</si>
  <si>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</si>
  <si>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</si>
  <si>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</si>
  <si>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</si>
  <si>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</si>
  <si>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</si>
  <si>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</si>
  <si>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</si>
  <si>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</si>
  <si>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</si>
  <si>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</si>
  <si>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</si>
  <si>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</si>
  <si>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</si>
  <si>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</si>
  <si>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</si>
  <si>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</si>
  <si>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</si>
  <si>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</si>
  <si>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</si>
  <si>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</si>
  <si>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</si>
  <si>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</si>
  <si>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</si>
  <si>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</si>
  <si>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</si>
  <si>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</si>
  <si>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</si>
  <si>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</si>
  <si>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</si>
  <si>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</si>
  <si>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</si>
  <si>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</si>
  <si>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</si>
  <si>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</si>
  <si>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</si>
  <si>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</si>
  <si>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</si>
  <si>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</si>
  <si>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</si>
  <si>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</si>
  <si>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</si>
  <si>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</si>
  <si>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</si>
  <si>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</si>
  <si>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</si>
  <si>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</si>
  <si>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</si>
  <si>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</si>
  <si>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</si>
  <si>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</si>
  <si>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</si>
  <si>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</si>
  <si>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</si>
  <si>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</si>
  <si>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</si>
  <si>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</si>
  <si>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</si>
  <si>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</si>
  <si>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</si>
  <si>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</si>
  <si>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</si>
  <si>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</si>
  <si>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</si>
  <si>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</si>
  <si>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</si>
  <si>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</si>
  <si>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</si>
  <si>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</si>
  <si>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</si>
  <si>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</si>
  <si>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</si>
  <si>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</si>
  <si>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</si>
  <si>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</si>
  <si>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</si>
  <si>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</si>
  <si>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</si>
  <si>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</si>
  <si>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</si>
  <si>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</si>
  <si>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</si>
  <si>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</si>
  <si>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</si>
  <si>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</si>
  <si>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</si>
  <si>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</si>
  <si>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</si>
  <si>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</si>
  <si>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</si>
  <si>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</si>
  <si>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</si>
  <si>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</si>
  <si>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</si>
  <si>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</si>
  <si>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</si>
  <si>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</si>
  <si>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</si>
  <si>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</si>
  <si>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</si>
  <si>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</si>
  <si>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</si>
  <si>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</si>
  <si>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</si>
  <si>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</si>
  <si>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</si>
  <si>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</si>
  <si>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</si>
  <si>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</si>
  <si>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</si>
  <si>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</si>
  <si>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</si>
  <si>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</si>
  <si>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</si>
  <si>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</si>
  <si>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</si>
  <si>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</si>
  <si>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</si>
  <si>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</si>
  <si>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</si>
  <si>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</si>
  <si>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</si>
  <si>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</si>
  <si>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</si>
  <si>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</si>
  <si>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</si>
  <si>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</si>
  <si>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</si>
  <si>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</si>
  <si>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</si>
  <si>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</si>
  <si>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</si>
  <si>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</si>
  <si>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</si>
  <si>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</si>
  <si>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</si>
  <si>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</si>
  <si>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</si>
  <si>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</si>
  <si>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</si>
  <si>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</si>
  <si>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</si>
  <si>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</si>
  <si>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</si>
  <si>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</si>
  <si>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</si>
  <si>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</si>
  <si>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</si>
  <si>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</si>
  <si>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</si>
  <si>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</si>
  <si>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</si>
  <si>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</si>
  <si>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</si>
  <si>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</si>
  <si>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</si>
  <si>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</si>
  <si>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</si>
  <si>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</si>
  <si>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</si>
  <si>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</si>
  <si>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</si>
  <si>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</si>
  <si>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</si>
  <si>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</si>
  <si>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</si>
  <si>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</si>
  <si>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</si>
  <si>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</si>
  <si>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</si>
  <si>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</si>
  <si>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</si>
  <si>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</si>
  <si>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</si>
  <si>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</si>
  <si>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</si>
  <si>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</si>
  <si>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</si>
  <si>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</si>
  <si>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</si>
  <si>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</si>
  <si>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</si>
  <si>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</si>
  <si>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</si>
  <si>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</si>
  <si>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</si>
  <si>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</si>
  <si>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</si>
  <si>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</si>
  <si>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</si>
  <si>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</si>
  <si>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</si>
  <si>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</si>
  <si>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</si>
  <si>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</si>
  <si>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</si>
  <si>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</si>
  <si>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</si>
  <si>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</si>
  <si>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</si>
  <si>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</si>
  <si>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</si>
  <si>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</si>
  <si>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</si>
  <si>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</si>
  <si>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</si>
  <si>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</si>
  <si>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</si>
  <si>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</si>
  <si>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</si>
  <si>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</si>
  <si>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</si>
  <si>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</si>
  <si>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</si>
  <si>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</si>
  <si>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</si>
  <si>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</si>
  <si>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</si>
  <si>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</si>
  <si>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</si>
  <si>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</si>
  <si>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</si>
  <si>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</si>
  <si>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</si>
  <si>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</si>
  <si>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</si>
  <si>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</si>
  <si>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</si>
  <si>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</si>
  <si>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</si>
  <si>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</si>
  <si>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</si>
  <si>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</si>
  <si>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</si>
  <si>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</si>
  <si>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</si>
  <si>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</si>
  <si>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</si>
  <si>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</si>
  <si>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</si>
  <si>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</si>
  <si>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</si>
  <si>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</si>
  <si>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</si>
  <si>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</si>
  <si>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</si>
  <si>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</si>
  <si>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</si>
  <si>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</si>
  <si>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</si>
  <si>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</si>
  <si>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</si>
  <si>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</si>
  <si>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</si>
  <si>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</si>
  <si>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</si>
  <si>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</si>
  <si>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</si>
  <si>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</si>
  <si>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</si>
  <si>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</si>
  <si>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</si>
  <si>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</si>
  <si>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</si>
  <si>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</si>
  <si>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</si>
  <si>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</si>
  <si>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</si>
  <si>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</si>
  <si>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</si>
  <si>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</si>
  <si>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</si>
  <si>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</si>
  <si>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</si>
  <si>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</si>
  <si>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</si>
  <si>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</si>
  <si>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</si>
  <si>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</si>
  <si>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</si>
  <si>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</si>
  <si>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</si>
  <si>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</si>
  <si>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</si>
  <si>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</si>
  <si>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</si>
  <si>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</si>
  <si>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</si>
  <si>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</si>
  <si>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</si>
  <si>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</si>
  <si>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</si>
  <si>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</si>
  <si>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</si>
  <si>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</si>
  <si>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</si>
  <si>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</si>
  <si>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</si>
  <si>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</si>
  <si>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</si>
  <si>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</si>
  <si>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</si>
  <si>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</si>
  <si>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</si>
  <si>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</si>
  <si>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</si>
  <si>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</si>
  <si>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</si>
  <si>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</si>
  <si>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</si>
  <si>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</si>
  <si>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</si>
  <si>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</si>
  <si>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</si>
  <si>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</si>
  <si>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</si>
  <si>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</si>
  <si>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</si>
  <si>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</si>
  <si>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</si>
  <si>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</si>
  <si>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</si>
  <si>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</si>
  <si>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</si>
  <si>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</si>
  <si>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</si>
  <si>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</si>
  <si>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</si>
  <si>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</si>
  <si>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</si>
  <si>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</si>
  <si>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</si>
  <si>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</si>
  <si>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</si>
  <si>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</si>
  <si>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</si>
  <si>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</si>
  <si>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</si>
  <si>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</si>
  <si>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</si>
  <si>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</si>
  <si>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</si>
  <si>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</si>
  <si>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</si>
  <si>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</si>
  <si>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</si>
  <si>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</si>
  <si>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</si>
  <si>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</si>
  <si>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</si>
  <si>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</si>
  <si>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</si>
  <si>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</si>
  <si>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</si>
  <si>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</si>
  <si>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</si>
  <si>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</si>
  <si>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</si>
  <si>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</si>
  <si>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</si>
  <si>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</si>
  <si>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</si>
  <si>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</si>
  <si>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</si>
  <si>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</si>
  <si>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</si>
  <si>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</si>
  <si>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</si>
  <si>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</si>
  <si>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</si>
  <si>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</si>
  <si>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</si>
  <si>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</si>
  <si>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</si>
  <si>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</si>
  <si>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</si>
  <si>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</si>
  <si>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</si>
  <si>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</si>
  <si>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</si>
  <si>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</si>
  <si>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</si>
  <si>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</si>
  <si>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</si>
  <si>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</si>
  <si>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</si>
  <si>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</si>
  <si>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</si>
  <si>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</si>
  <si>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</si>
  <si>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</si>
  <si>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</si>
  <si>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</si>
  <si>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</si>
  <si>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</si>
  <si>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</si>
  <si>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</si>
  <si>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</si>
  <si>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</si>
  <si>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</si>
  <si>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</si>
  <si>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</si>
  <si>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</si>
  <si>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</si>
  <si>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</si>
  <si>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</si>
  <si>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</si>
  <si>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</si>
  <si>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</si>
  <si>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</si>
  <si>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</si>
  <si>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</si>
  <si>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</si>
  <si>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</si>
  <si>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</si>
  <si>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</si>
  <si>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</si>
  <si>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</si>
  <si>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</si>
  <si>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</si>
  <si>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</si>
  <si>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</si>
  <si>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</si>
  <si>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</si>
  <si>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</si>
  <si>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</si>
  <si>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</si>
  <si>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</si>
  <si>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</si>
  <si>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</si>
  <si>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</si>
  <si>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</si>
  <si>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</si>
  <si>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</si>
  <si>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</si>
  <si>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</si>
  <si>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</si>
  <si>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</si>
  <si>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</si>
  <si>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</si>
  <si>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</si>
  <si>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</si>
  <si>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</si>
  <si>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</si>
  <si>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</si>
  <si>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</si>
  <si>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</si>
  <si>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</si>
  <si>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</si>
  <si>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</si>
  <si>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</si>
  <si>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</si>
  <si>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</si>
  <si>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</si>
  <si>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</si>
  <si>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</si>
  <si>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</si>
  <si>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</si>
  <si>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</si>
  <si>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</si>
  <si>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</si>
  <si>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</si>
  <si>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</si>
  <si>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</si>
  <si>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</si>
  <si>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</si>
  <si>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</si>
  <si>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</si>
  <si>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</si>
  <si>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</si>
  <si>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</si>
  <si>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</si>
  <si>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</si>
  <si>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</si>
  <si>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</si>
  <si>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</si>
  <si>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</si>
  <si>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</si>
  <si>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</si>
  <si>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</si>
  <si>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</si>
  <si>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</si>
  <si>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</si>
  <si>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</si>
  <si>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</si>
  <si>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</si>
  <si>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</si>
  <si>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</si>
  <si>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</si>
  <si>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</si>
  <si>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</si>
  <si>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</si>
  <si>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</si>
  <si>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</si>
  <si>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</si>
  <si>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</si>
  <si>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</si>
  <si>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</si>
  <si>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</si>
  <si>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</si>
  <si>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</si>
  <si>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</si>
  <si>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</si>
  <si>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</si>
  <si>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</si>
  <si>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</si>
  <si>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</si>
  <si>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</si>
  <si>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</si>
  <si>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</si>
  <si>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</si>
  <si>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</si>
  <si>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</si>
  <si>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</si>
  <si>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</si>
  <si>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</si>
  <si>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</si>
  <si>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</si>
  <si>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</si>
  <si>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</si>
  <si>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</si>
  <si>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</si>
  <si>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</si>
  <si>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</si>
  <si>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</si>
  <si>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</si>
  <si>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</si>
  <si>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</si>
  <si>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</si>
  <si>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</si>
  <si>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</si>
  <si>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</si>
  <si>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</si>
  <si>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</si>
  <si>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</si>
  <si>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</si>
  <si>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</si>
  <si>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</si>
  <si>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</si>
  <si>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</si>
  <si>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</si>
  <si>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</si>
  <si>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</si>
  <si>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</si>
  <si>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</si>
  <si>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</si>
  <si>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</si>
  <si>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</si>
  <si>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</si>
  <si>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</si>
  <si>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</si>
  <si>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</si>
  <si>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</si>
  <si>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</si>
  <si>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</si>
  <si>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</si>
  <si>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</si>
  <si>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</si>
  <si>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</si>
  <si>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</si>
  <si>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</si>
  <si>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</si>
  <si>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</si>
  <si>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</si>
  <si>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</si>
  <si>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</si>
  <si>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</si>
  <si>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</si>
  <si>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</si>
  <si>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</si>
  <si>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</si>
  <si>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</si>
  <si>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</si>
  <si>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</si>
  <si>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</si>
  <si>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</si>
  <si>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</si>
  <si>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</si>
  <si>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</si>
  <si>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</si>
  <si>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</si>
  <si>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</si>
  <si>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</si>
  <si>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</si>
  <si>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</si>
  <si>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</si>
  <si>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</si>
  <si>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</si>
  <si>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</si>
  <si>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</si>
  <si>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</si>
  <si>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</si>
  <si>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</si>
  <si>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</si>
  <si>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</si>
  <si>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</si>
  <si>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</si>
  <si>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</si>
  <si>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</si>
  <si>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</si>
  <si>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</si>
  <si>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</si>
  <si>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</si>
  <si>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</si>
  <si>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</si>
  <si>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</si>
  <si>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</si>
  <si>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</si>
  <si>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</si>
  <si>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</si>
  <si>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</si>
  <si>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</si>
  <si>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</si>
  <si>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</si>
  <si>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</si>
  <si>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</si>
  <si>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</si>
  <si>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</si>
  <si>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</si>
  <si>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</si>
  <si>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</si>
  <si>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</si>
  <si>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</si>
  <si>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</si>
  <si>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</si>
  <si>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</si>
  <si>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</si>
  <si>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</si>
  <si>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</si>
  <si>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</si>
  <si>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</si>
  <si>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</si>
  <si>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</si>
  <si>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</si>
  <si>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</si>
  <si>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</si>
  <si>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</si>
  <si>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</si>
  <si>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</si>
  <si>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</si>
  <si>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</si>
  <si>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</si>
  <si>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</si>
  <si>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</si>
  <si>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</si>
  <si>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</si>
  <si>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</si>
  <si>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</si>
  <si>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</si>
  <si>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</si>
  <si>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</si>
  <si>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</si>
  <si>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</si>
  <si>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</si>
  <si>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</si>
  <si>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</si>
  <si>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</si>
  <si>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</si>
  <si>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</si>
  <si>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</si>
  <si>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</si>
  <si>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</si>
  <si>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</si>
  <si>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</si>
  <si>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</si>
  <si>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</si>
  <si>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</si>
  <si>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</si>
  <si>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</si>
  <si>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</si>
  <si>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</si>
  <si>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</si>
  <si>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</si>
  <si>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</si>
  <si>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</si>
  <si>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</si>
  <si>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</si>
  <si>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</si>
  <si>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</si>
  <si>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</si>
  <si>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</si>
  <si>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</si>
  <si>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</si>
  <si>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</si>
  <si>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</si>
  <si>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</si>
  <si>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</si>
  <si>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</si>
  <si>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</si>
  <si>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</si>
  <si>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</si>
  <si>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</si>
  <si>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</si>
  <si>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</si>
  <si>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</si>
  <si>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</si>
  <si>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</si>
  <si>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</si>
  <si>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</si>
  <si>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</si>
  <si>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</si>
  <si>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</si>
  <si>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</si>
  <si>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</si>
  <si>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</si>
  <si>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</si>
  <si>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</si>
  <si>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</si>
  <si>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</si>
  <si>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</si>
  <si>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</si>
  <si>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</si>
  <si>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</si>
  <si>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</si>
  <si>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</si>
  <si>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</si>
  <si>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</si>
  <si>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</si>
  <si>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</si>
  <si>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</si>
  <si>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</si>
  <si>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</si>
  <si>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</si>
  <si>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</si>
  <si>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</si>
  <si>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</si>
  <si>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</si>
  <si>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</si>
  <si>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</si>
  <si>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</si>
  <si>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</si>
  <si>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</si>
  <si>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</si>
  <si>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</si>
  <si>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</si>
  <si>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</si>
  <si>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</si>
  <si>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</si>
  <si>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</si>
  <si>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</si>
  <si>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</si>
  <si>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</si>
  <si>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</si>
  <si>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</si>
  <si>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</si>
  <si>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</si>
  <si>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</si>
  <si>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</si>
  <si>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</si>
  <si>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</si>
  <si>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</si>
  <si>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</si>
  <si>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</si>
  <si>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</si>
  <si>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</si>
  <si>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</si>
  <si>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</si>
  <si>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</si>
  <si>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</si>
  <si>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</si>
  <si>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</si>
  <si>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</si>
  <si>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</si>
  <si>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</si>
  <si>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</si>
  <si>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</si>
  <si>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</si>
  <si>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</si>
  <si>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</si>
  <si>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</si>
  <si>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</si>
  <si>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</si>
  <si>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</si>
  <si>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</si>
  <si>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</si>
  <si>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</si>
  <si>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</si>
  <si>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</si>
  <si>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</si>
  <si>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</si>
  <si>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</si>
  <si>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</si>
  <si>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</si>
  <si>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</si>
  <si>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</si>
  <si>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</si>
  <si>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</si>
  <si>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</si>
  <si>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</si>
  <si>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</si>
  <si>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</si>
  <si>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</si>
  <si>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</si>
  <si>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</si>
  <si>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</si>
  <si>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</si>
  <si>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</si>
  <si>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</si>
  <si>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</si>
  <si>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</si>
  <si>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</si>
  <si>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</si>
  <si>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</si>
  <si>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</si>
  <si>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</si>
  <si>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</si>
  <si>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</si>
  <si>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</si>
  <si>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</si>
  <si>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</si>
  <si>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</si>
  <si>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</si>
  <si>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</si>
  <si>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</si>
  <si>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</si>
  <si>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</si>
  <si>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</si>
  <si>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</si>
  <si>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</si>
  <si>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</si>
  <si>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</si>
  <si>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</si>
  <si>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</si>
  <si>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</si>
  <si>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</si>
  <si>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</si>
  <si>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</si>
  <si>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</si>
  <si>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</si>
  <si>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</si>
  <si>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</si>
  <si>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</si>
  <si>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</si>
  <si>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</si>
  <si>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</si>
  <si>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</si>
  <si>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</si>
  <si>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</si>
  <si>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</si>
  <si>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</si>
  <si>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</si>
  <si>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</si>
  <si>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</si>
  <si>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</si>
  <si>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</si>
  <si>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</si>
  <si>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</si>
  <si>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</si>
  <si>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</si>
  <si>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</si>
  <si>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</si>
  <si>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</si>
  <si>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</si>
  <si>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</si>
  <si>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</si>
  <si>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</si>
  <si>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</si>
  <si>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</si>
  <si>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</si>
  <si>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</si>
  <si>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</si>
  <si>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</si>
  <si>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</si>
  <si>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</si>
  <si>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</si>
  <si>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</si>
  <si>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</si>
  <si>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</si>
  <si>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</si>
  <si>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</si>
  <si>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</si>
  <si>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</si>
  <si>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</si>
  <si>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</si>
  <si>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</si>
  <si>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</si>
  <si>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</si>
  <si>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</si>
  <si>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</si>
  <si>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</si>
  <si>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</si>
  <si>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</si>
  <si>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</si>
  <si>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</si>
  <si>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</si>
  <si>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</si>
  <si>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</si>
  <si>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</si>
  <si>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</si>
  <si>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</si>
  <si>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</si>
  <si>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</si>
  <si>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</si>
  <si>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</si>
  <si>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</si>
  <si>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</si>
  <si>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</si>
  <si>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</si>
  <si>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</si>
  <si>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</si>
  <si>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</si>
  <si>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</si>
  <si>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</si>
  <si>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</si>
  <si>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</si>
  <si>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</si>
  <si>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</si>
  <si>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</si>
  <si>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</si>
  <si>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</si>
  <si>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</si>
  <si>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</si>
  <si>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</si>
  <si>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</si>
  <si>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</si>
  <si>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</si>
  <si>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</si>
  <si>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</si>
  <si>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</si>
  <si>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</si>
  <si>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</si>
  <si>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</si>
  <si>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</si>
  <si>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</si>
  <si>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</si>
  <si>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</si>
  <si>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</si>
  <si>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</si>
  <si>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</si>
  <si>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</si>
  <si>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</si>
  <si>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</si>
  <si>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</si>
  <si>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</si>
  <si>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</si>
  <si>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</si>
  <si>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</si>
  <si>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</si>
  <si>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</si>
  <si>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</si>
  <si>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</si>
  <si>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</si>
  <si>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</si>
  <si>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</si>
  <si>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</si>
  <si>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</si>
  <si>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</si>
  <si>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</si>
  <si>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</si>
  <si>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</si>
  <si>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</si>
  <si>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</si>
  <si>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</si>
  <si>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</si>
  <si>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</si>
  <si>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</si>
  <si>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</si>
  <si>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</si>
  <si>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</si>
  <si>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</si>
  <si>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</si>
  <si>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</si>
  <si>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</si>
  <si>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</si>
  <si>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</si>
  <si>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</si>
  <si>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</si>
  <si>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</si>
  <si>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</si>
  <si>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</si>
  <si>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</si>
  <si>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</si>
  <si>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</si>
  <si>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</si>
  <si>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</si>
  <si>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</si>
  <si>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</si>
  <si>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</si>
  <si>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</si>
  <si>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</si>
  <si>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</si>
  <si>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</si>
  <si>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</si>
  <si>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</si>
  <si>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</si>
  <si>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</si>
  <si>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</si>
  <si>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</si>
  <si>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</si>
  <si>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</si>
  <si>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</si>
  <si>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</si>
  <si>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</si>
  <si>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</si>
  <si>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</si>
  <si>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</si>
  <si>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</si>
  <si>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</si>
  <si>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</si>
  <si>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</si>
  <si>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</si>
  <si>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</si>
  <si>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</si>
  <si>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</si>
  <si>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</si>
  <si>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</si>
  <si>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</si>
  <si>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</si>
  <si>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</si>
  <si>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</si>
  <si>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</si>
  <si>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</si>
  <si>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</si>
  <si>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</si>
  <si>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</si>
  <si>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</si>
  <si>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</si>
  <si>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</si>
  <si>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</si>
  <si>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</si>
  <si>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</si>
  <si>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</si>
  <si>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</si>
  <si>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</si>
  <si>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</si>
  <si>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</si>
  <si>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</si>
  <si>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</si>
  <si>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</si>
  <si>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</si>
  <si>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</si>
  <si>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</si>
  <si>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</si>
  <si>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</si>
  <si>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</si>
  <si>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</si>
  <si>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</si>
  <si>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</si>
  <si>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</si>
  <si>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</si>
  <si>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</si>
  <si>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</si>
  <si>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</si>
  <si>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</si>
  <si>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</si>
  <si>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</si>
  <si>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</si>
  <si>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</si>
  <si>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</si>
  <si>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</si>
  <si>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</si>
  <si>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</si>
  <si>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</si>
  <si>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</si>
  <si>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</si>
  <si>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</si>
  <si>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</si>
  <si>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</si>
  <si>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</si>
  <si>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</si>
  <si>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</si>
  <si>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</si>
  <si>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</si>
  <si>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</si>
  <si>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</si>
  <si>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</si>
  <si>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</si>
  <si>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</si>
  <si>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</si>
  <si>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</si>
  <si>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</si>
  <si>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</si>
  <si>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</si>
  <si>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</si>
  <si>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</si>
  <si>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</si>
  <si>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</si>
  <si>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</si>
  <si>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</si>
  <si>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</si>
  <si>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</si>
  <si>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</si>
  <si>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</si>
  <si>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</si>
  <si>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</si>
  <si>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</si>
  <si>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</si>
  <si>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</si>
  <si>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</si>
  <si>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</si>
  <si>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</si>
  <si>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</si>
  <si>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</si>
  <si>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</si>
  <si>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</si>
  <si>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</si>
  <si>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</si>
  <si>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</si>
  <si>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</si>
  <si>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</si>
  <si>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</si>
  <si>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</si>
  <si>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</si>
  <si>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</si>
  <si>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</si>
  <si>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</si>
  <si>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</si>
  <si>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</si>
  <si>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</si>
  <si>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</si>
  <si>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</si>
  <si>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</si>
  <si>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</si>
  <si>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</si>
  <si>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</si>
  <si>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</si>
  <si>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</si>
  <si>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</si>
  <si>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</si>
  <si>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</si>
  <si>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</si>
  <si>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</si>
  <si>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</si>
  <si>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</si>
  <si>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</si>
  <si>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</si>
  <si>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</si>
  <si>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</si>
  <si>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</si>
  <si>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</si>
  <si>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</si>
  <si>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</si>
  <si>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</si>
  <si>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</si>
  <si>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</si>
  <si>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</si>
  <si>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</si>
  <si>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</si>
  <si>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</si>
  <si>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</si>
  <si>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</si>
  <si>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</si>
  <si>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</si>
  <si>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</si>
  <si>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</si>
  <si>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</si>
  <si>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</si>
  <si>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</si>
  <si>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</si>
  <si>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</si>
  <si>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</si>
  <si>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</si>
  <si>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</si>
  <si>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</si>
  <si>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</si>
  <si>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</si>
  <si>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</si>
  <si>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</si>
  <si>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</si>
  <si>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</si>
  <si>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</si>
  <si>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</si>
  <si>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</si>
  <si>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</si>
  <si>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</si>
  <si>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</si>
  <si>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</si>
  <si>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</si>
  <si>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</si>
  <si>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</si>
  <si>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</si>
  <si>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</si>
  <si>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</si>
  <si>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</si>
  <si>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</si>
  <si>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</si>
  <si>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</si>
  <si>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</si>
  <si>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</si>
  <si>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</si>
  <si>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</si>
  <si>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</si>
  <si>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</si>
  <si>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</si>
  <si>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</si>
  <si>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</si>
  <si>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</si>
  <si>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</si>
  <si>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</si>
  <si>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</si>
  <si>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</si>
  <si>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</si>
  <si>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</si>
  <si>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</si>
  <si>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</si>
  <si>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</si>
  <si>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</si>
  <si>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</si>
  <si>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</si>
  <si>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</si>
  <si>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</si>
  <si>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</si>
  <si>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</si>
  <si>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</si>
  <si>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</si>
  <si>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</si>
  <si>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</si>
  <si>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</si>
  <si>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</si>
  <si>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</si>
  <si>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</si>
  <si>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</si>
  <si>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</si>
  <si>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</si>
  <si>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</si>
  <si>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</si>
  <si>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</si>
  <si>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</si>
  <si>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</si>
  <si>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</si>
  <si>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</si>
  <si>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</si>
  <si>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</si>
  <si>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</si>
  <si>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</si>
  <si>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</si>
  <si>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</si>
  <si>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</si>
  <si>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</si>
  <si>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</si>
  <si>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</si>
  <si>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</si>
  <si>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</si>
  <si>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</si>
  <si>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</si>
  <si>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</si>
  <si>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</si>
  <si>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</si>
  <si>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</si>
  <si>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</si>
  <si>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</si>
  <si>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</si>
  <si>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</si>
  <si>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</si>
  <si>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</si>
  <si>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</si>
  <si>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</si>
  <si>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</si>
  <si>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</si>
  <si>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</si>
  <si>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</si>
  <si>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</si>
  <si>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</si>
  <si>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</si>
  <si>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</si>
  <si>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</si>
  <si>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</si>
  <si>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</si>
  <si>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</si>
  <si>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</si>
  <si>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</si>
  <si>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</si>
  <si>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</si>
  <si>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</si>
  <si>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</si>
  <si>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</si>
  <si>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</si>
  <si>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</si>
  <si>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</si>
  <si>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</si>
  <si>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</si>
  <si>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</si>
  <si>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</si>
  <si>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</si>
  <si>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</si>
  <si>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</si>
  <si>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</si>
  <si>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</si>
  <si>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</si>
  <si>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</si>
  <si>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</si>
  <si>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</si>
  <si>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</si>
  <si>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</si>
  <si>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</si>
  <si>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</si>
  <si>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</si>
  <si>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</si>
  <si>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</si>
  <si>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</si>
  <si>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</si>
  <si>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</si>
  <si>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</si>
  <si>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</si>
  <si>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</si>
  <si>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</si>
  <si>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</si>
  <si>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</si>
  <si>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</si>
  <si>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</si>
  <si>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</si>
  <si>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</si>
  <si>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</si>
  <si>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</si>
  <si>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</si>
  <si>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</si>
  <si>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</si>
  <si>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</si>
  <si>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</si>
  <si>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</si>
  <si>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</si>
  <si>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</si>
  <si>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</si>
  <si>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</si>
  <si>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</si>
  <si>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</si>
  <si>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</si>
  <si>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</si>
  <si>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</si>
  <si>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</si>
  <si>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</si>
  <si>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</si>
  <si>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</si>
  <si>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</si>
  <si>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</si>
  <si>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</si>
  <si>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</si>
  <si>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</si>
  <si>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</si>
  <si>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</si>
  <si>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</si>
  <si>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</si>
  <si>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</si>
  <si>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</si>
  <si>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</si>
  <si>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</si>
  <si>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</si>
  <si>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</si>
  <si>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</si>
  <si>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</si>
  <si>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</si>
  <si>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</si>
  <si>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</si>
  <si>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</si>
  <si>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</si>
  <si>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</si>
  <si>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</si>
  <si>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</si>
  <si>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</si>
  <si>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</si>
  <si>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</si>
  <si>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</si>
  <si>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</si>
  <si>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</si>
  <si>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</si>
  <si>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</si>
  <si>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</si>
  <si>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</si>
  <si>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</si>
  <si>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</si>
  <si>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</si>
  <si>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</si>
  <si>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</si>
  <si>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</si>
  <si>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</si>
  <si>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</si>
  <si>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</si>
  <si>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</si>
  <si>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</si>
  <si>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</si>
  <si>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</si>
  <si>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</si>
  <si>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</si>
  <si>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</si>
  <si>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</si>
  <si>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</si>
  <si>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</si>
  <si>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</si>
  <si>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</si>
  <si>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</si>
  <si>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</si>
  <si>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</si>
  <si>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</si>
  <si>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</si>
  <si>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</si>
  <si>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</si>
  <si>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</si>
  <si>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</si>
  <si>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</si>
  <si>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</si>
  <si>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</si>
  <si>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</si>
  <si>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</si>
  <si>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</si>
  <si>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</si>
  <si>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</si>
  <si>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</si>
  <si>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</si>
  <si>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</si>
  <si>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</si>
  <si>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</si>
  <si>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</si>
  <si>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</si>
  <si>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</si>
  <si>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</si>
  <si>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</si>
  <si>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</si>
  <si>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</si>
  <si>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</si>
  <si>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</si>
  <si>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</si>
  <si>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</si>
  <si>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</si>
  <si>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</si>
  <si>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</si>
  <si>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</si>
  <si>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</si>
  <si>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</si>
  <si>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</si>
  <si>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</si>
  <si>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</si>
  <si>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</si>
  <si>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</si>
  <si>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</si>
  <si>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</si>
  <si>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</si>
  <si>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</si>
  <si>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</si>
  <si>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</si>
  <si>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</si>
  <si>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</si>
  <si>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</si>
  <si>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</si>
  <si>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</si>
  <si>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</si>
  <si>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</si>
  <si>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</si>
  <si>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</si>
  <si>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</si>
  <si>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</si>
  <si>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</si>
  <si>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</si>
  <si>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</si>
  <si>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</si>
  <si>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</si>
  <si>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</si>
  <si>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</si>
  <si>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</si>
  <si>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</si>
  <si>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</si>
  <si>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</si>
  <si>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</si>
  <si>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</si>
  <si>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</si>
  <si>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</si>
  <si>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</si>
  <si>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</si>
  <si>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</si>
  <si>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</si>
  <si>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</si>
  <si>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</si>
  <si>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</si>
  <si>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</si>
  <si>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</si>
  <si>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</si>
  <si>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</si>
  <si>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</si>
  <si>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</si>
  <si>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</si>
  <si>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</si>
  <si>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</si>
  <si>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</si>
  <si>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</si>
  <si>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</si>
  <si>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</si>
  <si>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</si>
  <si>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</si>
  <si>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</si>
  <si>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</si>
  <si>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</si>
  <si>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</si>
  <si>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</si>
  <si>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</si>
  <si>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</si>
  <si>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</si>
  <si>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</si>
  <si>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</si>
  <si>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</si>
  <si>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</si>
  <si>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</si>
  <si>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</si>
  <si>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</si>
  <si>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</si>
  <si>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</si>
  <si>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</si>
  <si>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</si>
  <si>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</si>
  <si>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</si>
  <si>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</si>
  <si>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</si>
  <si>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</si>
  <si>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</si>
  <si>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</si>
  <si>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</si>
  <si>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</si>
  <si>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</si>
  <si>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</si>
  <si>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</si>
  <si>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</si>
  <si>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</si>
  <si>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</si>
  <si>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</si>
  <si>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</si>
  <si>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</si>
  <si>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</si>
  <si>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</si>
  <si>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</si>
  <si>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</si>
  <si>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</si>
  <si>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</si>
  <si>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</si>
  <si>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</si>
  <si>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</si>
  <si>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</si>
  <si>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</si>
  <si>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</si>
  <si>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</si>
  <si>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</si>
  <si>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</si>
  <si>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</si>
  <si>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</si>
  <si>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</si>
  <si>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</si>
  <si>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</si>
  <si>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</si>
  <si>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</si>
  <si>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</si>
  <si>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</si>
  <si>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</si>
  <si>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</si>
  <si>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</si>
  <si>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</si>
  <si>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</si>
  <si>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</si>
  <si>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</si>
  <si>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</si>
  <si>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</si>
  <si>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</si>
  <si>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</si>
  <si>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</si>
  <si>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</si>
  <si>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</si>
  <si>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</si>
  <si>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</si>
  <si>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</si>
  <si>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</si>
  <si>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</si>
  <si>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</si>
  <si>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</si>
  <si>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</si>
  <si>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</si>
  <si>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</si>
  <si>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</si>
  <si>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</si>
  <si>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</si>
  <si>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</si>
  <si>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</si>
  <si>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</si>
  <si>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</si>
  <si>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</si>
  <si>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</si>
  <si>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</si>
  <si>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</si>
  <si>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</si>
  <si>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</si>
  <si>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</si>
  <si>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</si>
  <si>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</si>
  <si>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</si>
  <si>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</si>
  <si>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</si>
  <si>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</si>
  <si>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</si>
  <si>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</si>
  <si>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</si>
  <si>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</si>
  <si>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</si>
  <si>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</si>
  <si>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</si>
  <si>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</si>
  <si>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</si>
  <si>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</si>
  <si>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</si>
  <si>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</si>
  <si>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</si>
  <si>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</si>
  <si>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</si>
  <si>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</si>
  <si>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</si>
  <si>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</si>
  <si>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</si>
  <si>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</si>
  <si>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</si>
  <si>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</si>
  <si>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</si>
  <si>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</si>
  <si>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</si>
  <si>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</si>
  <si>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</si>
  <si>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</si>
  <si>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</si>
  <si>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</si>
  <si>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</si>
  <si>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</si>
  <si>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</si>
  <si>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</si>
  <si>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</si>
  <si>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</si>
  <si>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</si>
  <si>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</si>
  <si>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</si>
  <si>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</si>
  <si>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</si>
  <si>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</si>
  <si>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</si>
  <si>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</si>
  <si>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</si>
  <si>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</si>
  <si>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</si>
  <si>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</si>
  <si>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</si>
  <si>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</si>
  <si>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</si>
  <si>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</si>
  <si>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</si>
  <si>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</si>
  <si>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</si>
  <si>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</si>
  <si>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</si>
  <si>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</si>
  <si>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</si>
  <si>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</si>
  <si>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</si>
  <si>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</si>
  <si>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</si>
  <si>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</si>
  <si>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</si>
  <si>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</si>
  <si>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</si>
  <si>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</si>
  <si>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</si>
  <si>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</si>
  <si>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</si>
  <si>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</si>
  <si>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</si>
  <si>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</si>
  <si>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</si>
  <si>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</si>
  <si>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</si>
  <si>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</si>
  <si>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</si>
  <si>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</si>
  <si>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</si>
  <si>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</si>
  <si>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</si>
  <si>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</si>
  <si>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</si>
  <si>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</si>
  <si>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</si>
  <si>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</si>
  <si>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</si>
  <si>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</si>
  <si>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</si>
  <si>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</si>
  <si>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</si>
  <si>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</si>
  <si>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</si>
  <si>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</si>
  <si>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</si>
  <si>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</si>
  <si>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</si>
  <si>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</si>
  <si>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</si>
  <si>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</si>
  <si>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</si>
  <si>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</si>
  <si>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</si>
  <si>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</si>
  <si>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</si>
  <si>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</si>
  <si>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</si>
  <si>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</si>
  <si>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</si>
  <si>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</si>
  <si>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</si>
  <si>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</si>
  <si>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</si>
  <si>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</si>
  <si>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</si>
  <si>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</si>
  <si>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</si>
  <si>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</si>
  <si>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</si>
  <si>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</si>
  <si>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</si>
  <si>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</si>
  <si>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</si>
  <si>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</si>
  <si>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</si>
  <si>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</si>
  <si>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</si>
  <si>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</si>
  <si>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</si>
  <si>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</si>
  <si>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</si>
  <si>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</si>
  <si>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</si>
  <si>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</si>
  <si>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</si>
  <si>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</si>
  <si>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</si>
  <si>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</si>
  <si>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</si>
  <si>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</si>
  <si>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</si>
  <si>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</si>
  <si>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</si>
  <si>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</si>
  <si>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</si>
  <si>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</si>
  <si>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</si>
  <si>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</si>
  <si>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</si>
  <si>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</si>
  <si>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</si>
  <si>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</si>
  <si>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</si>
  <si>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</si>
  <si>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</si>
  <si>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</si>
  <si>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</si>
  <si>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</si>
  <si>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</si>
  <si>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</si>
  <si>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</si>
  <si>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</si>
  <si>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</si>
  <si>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</si>
  <si>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</si>
  <si>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</si>
  <si>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</si>
  <si>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</si>
  <si>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</si>
  <si>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</si>
  <si>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</si>
  <si>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</si>
  <si>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</si>
  <si>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</si>
  <si>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</si>
  <si>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</si>
  <si>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</si>
  <si>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</si>
  <si>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</si>
  <si>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</si>
  <si>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</si>
  <si>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</si>
  <si>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</si>
  <si>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</si>
  <si>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</si>
  <si>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</si>
  <si>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</si>
  <si>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</si>
  <si>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</si>
  <si>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</si>
  <si>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</si>
  <si>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</si>
  <si>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</si>
  <si>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</si>
  <si>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</si>
  <si>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</si>
  <si>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</si>
  <si>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</si>
  <si>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</si>
  <si>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</si>
  <si>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</si>
  <si>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</si>
  <si>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</si>
  <si>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</si>
  <si>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</si>
  <si>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</si>
  <si>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</si>
  <si>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</si>
  <si>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</si>
  <si>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</si>
  <si>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</si>
  <si>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</si>
  <si>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</si>
  <si>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</si>
  <si>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</si>
  <si>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</si>
  <si>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</si>
  <si>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</si>
  <si>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</si>
  <si>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</si>
  <si>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</si>
  <si>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</si>
  <si>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</si>
  <si>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</si>
  <si>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</si>
  <si>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</si>
  <si>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</si>
  <si>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</si>
  <si>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</si>
  <si>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</si>
  <si>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</si>
  <si>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</si>
  <si>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</si>
  <si>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</si>
  <si>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</si>
  <si>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</si>
  <si>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</si>
  <si>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</si>
  <si>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</si>
  <si>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</si>
  <si>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</si>
  <si>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</si>
  <si>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</si>
  <si>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</si>
  <si>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</si>
  <si>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</si>
  <si>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</si>
  <si>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</si>
  <si>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</si>
  <si>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</si>
  <si>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</si>
  <si>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</si>
  <si>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</si>
  <si>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</si>
  <si>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</si>
  <si>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</si>
  <si>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</si>
  <si>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</si>
  <si>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</si>
  <si>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</si>
  <si>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</si>
  <si>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</si>
  <si>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</si>
  <si>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</si>
  <si>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</si>
  <si>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</si>
  <si>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</si>
  <si>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</si>
  <si>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</si>
  <si>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</si>
  <si>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</si>
  <si>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</si>
  <si>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</si>
  <si>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</si>
  <si>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</si>
  <si>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</si>
  <si>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</si>
  <si>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</si>
  <si>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</si>
  <si>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</si>
  <si>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</si>
  <si>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</si>
  <si>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</si>
  <si>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</si>
  <si>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</si>
  <si>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</si>
  <si>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</si>
  <si>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</si>
  <si>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</si>
  <si>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</si>
  <si>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</si>
  <si>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</si>
  <si>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</si>
  <si>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</si>
  <si>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</si>
  <si>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</si>
  <si>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</si>
  <si>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</si>
  <si>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</si>
  <si>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</si>
  <si>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</si>
  <si>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</si>
  <si>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</si>
  <si>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</si>
  <si>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</si>
  <si>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</si>
  <si>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</si>
  <si>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</si>
  <si>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</si>
  <si>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</si>
  <si>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</si>
  <si>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</si>
  <si>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</si>
  <si>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</si>
  <si>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</si>
  <si>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</si>
  <si>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</si>
  <si>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</si>
  <si>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</si>
  <si>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</si>
  <si>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</si>
  <si>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</si>
  <si>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</si>
  <si>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</si>
  <si>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</si>
  <si>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</si>
  <si>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</si>
  <si>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</si>
  <si>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</si>
  <si>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</si>
  <si>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</si>
  <si>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</si>
  <si>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</si>
  <si>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</si>
  <si>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</si>
  <si>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</si>
  <si>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</si>
  <si>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</si>
  <si>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</si>
  <si>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</si>
  <si>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</si>
  <si>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</si>
  <si>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</si>
  <si>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</si>
  <si>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</si>
  <si>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</si>
  <si>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</si>
  <si>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</si>
  <si>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</si>
  <si>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</si>
  <si>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</si>
  <si>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</si>
  <si>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</si>
  <si>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</si>
  <si>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</si>
  <si>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</si>
  <si>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</si>
  <si>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</si>
  <si>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</si>
  <si>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</si>
  <si>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</si>
  <si>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</si>
  <si>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</si>
  <si>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</si>
  <si>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</si>
  <si>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</si>
  <si>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</si>
  <si>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</si>
  <si>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</si>
  <si>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</si>
  <si>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</si>
  <si>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</si>
  <si>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</si>
  <si>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</si>
  <si>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</si>
  <si>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</si>
  <si>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</si>
  <si>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</si>
  <si>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</si>
  <si>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</si>
  <si>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</si>
  <si>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</si>
  <si>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</si>
  <si>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</si>
  <si>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</si>
  <si>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</si>
  <si>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</si>
  <si>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</si>
  <si>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</si>
  <si>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</si>
  <si>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</si>
  <si>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</si>
  <si>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</si>
  <si>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</si>
  <si>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</si>
  <si>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</si>
  <si>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</si>
  <si>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</si>
  <si>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</si>
  <si>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</si>
  <si>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</si>
  <si>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</si>
  <si>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</si>
  <si>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</si>
  <si>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</si>
  <si>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</si>
  <si>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</si>
  <si>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</si>
  <si>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</si>
  <si>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</si>
  <si>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</si>
  <si>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</si>
  <si>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</si>
  <si>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</si>
  <si>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</si>
  <si>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</si>
  <si>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</si>
  <si>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</si>
  <si>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</si>
  <si>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</si>
  <si>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</si>
  <si>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</si>
  <si>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</si>
  <si>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</si>
  <si>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</si>
  <si>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</si>
  <si>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</si>
  <si>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</si>
  <si>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</si>
  <si>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</si>
  <si>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</si>
  <si>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</si>
  <si>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</si>
  <si>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</si>
  <si>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</si>
  <si>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</si>
  <si>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</si>
  <si>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</si>
  <si>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</si>
  <si>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</si>
  <si>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</si>
  <si>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</si>
  <si>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</si>
  <si>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</si>
  <si>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</si>
  <si>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</si>
  <si>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</si>
  <si>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</si>
  <si>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</si>
  <si>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</si>
  <si>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</si>
  <si>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</si>
  <si>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</si>
  <si>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</si>
  <si>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</si>
  <si>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</si>
  <si>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</si>
  <si>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</si>
  <si>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</si>
  <si>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</si>
  <si>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</si>
  <si>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</si>
  <si>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</si>
  <si>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</si>
  <si>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</si>
  <si>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</si>
  <si>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</si>
  <si>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</si>
  <si>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</si>
  <si>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</si>
  <si>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</si>
  <si>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</si>
  <si>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</si>
  <si>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</si>
  <si>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</si>
  <si>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</si>
  <si>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</si>
  <si>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</si>
  <si>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</si>
  <si>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</si>
  <si>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</si>
  <si>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</si>
  <si>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</si>
  <si>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</si>
  <si>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</si>
  <si>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</si>
  <si>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</si>
  <si>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</si>
  <si>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</si>
  <si>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</si>
  <si>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</si>
  <si>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</si>
  <si>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</si>
  <si>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</si>
  <si>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</si>
  <si>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</si>
  <si>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</si>
  <si>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</si>
  <si>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</si>
  <si>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</si>
  <si>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</si>
  <si>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</si>
  <si>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</si>
  <si>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</si>
  <si>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</si>
  <si>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</si>
  <si>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</si>
  <si>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</si>
  <si>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</si>
  <si>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</si>
  <si>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</si>
  <si>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</si>
  <si>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</si>
  <si>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</si>
  <si>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</si>
  <si>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</si>
  <si>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</si>
  <si>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</si>
  <si>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</si>
  <si>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</si>
  <si>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</si>
  <si>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</si>
  <si>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</si>
  <si>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</si>
  <si>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</si>
  <si>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</si>
  <si>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</si>
  <si>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</si>
  <si>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</si>
  <si>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</si>
  <si>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</si>
  <si>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</si>
  <si>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</si>
  <si>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</si>
  <si>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</si>
  <si>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</si>
  <si>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</si>
  <si>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</si>
  <si>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</si>
  <si>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</si>
  <si>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</si>
  <si>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</si>
  <si>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</si>
  <si>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</si>
  <si>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</si>
  <si>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</si>
  <si>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</si>
  <si>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</si>
  <si>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</si>
  <si>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</si>
  <si>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</si>
  <si>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</si>
  <si>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</si>
  <si>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</si>
  <si>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</si>
  <si>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</si>
  <si>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</si>
  <si>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</si>
  <si>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</si>
  <si>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</si>
  <si>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</si>
  <si>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</si>
  <si>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</si>
  <si>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</si>
  <si>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</si>
  <si>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</si>
  <si>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</si>
  <si>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</si>
  <si>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</si>
  <si>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</si>
  <si>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</si>
  <si>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</si>
  <si>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</si>
  <si>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</si>
  <si>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</si>
  <si>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</si>
  <si>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</si>
  <si>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</si>
  <si>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</si>
  <si>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</si>
  <si>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</si>
  <si>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</si>
  <si>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</si>
  <si>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</si>
  <si>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</si>
  <si>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</si>
  <si>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</si>
  <si>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</si>
  <si>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</si>
  <si>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</si>
  <si>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</si>
  <si>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</si>
  <si>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</si>
  <si>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</si>
  <si>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</si>
  <si>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</si>
  <si>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</si>
  <si>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</si>
  <si>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</si>
  <si>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</si>
  <si>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</si>
  <si>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</si>
  <si>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</si>
  <si>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</si>
  <si>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</si>
  <si>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</si>
  <si>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</si>
  <si>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</si>
  <si>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</si>
  <si>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</si>
  <si>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</si>
  <si>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</si>
  <si>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</si>
  <si>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</si>
  <si>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</si>
  <si>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</si>
  <si>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</si>
  <si>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</si>
  <si>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</si>
  <si>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</si>
  <si>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</si>
  <si>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</si>
  <si>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</si>
  <si>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</si>
  <si>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</si>
  <si>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</si>
  <si>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</si>
  <si>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</si>
  <si>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</si>
  <si>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</si>
  <si>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</si>
  <si>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</si>
  <si>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</si>
  <si>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</si>
  <si>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</si>
  <si>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</si>
  <si>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</si>
  <si>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</si>
  <si>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</si>
  <si>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</si>
  <si>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</si>
  <si>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</si>
  <si>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</si>
  <si>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</si>
  <si>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</si>
  <si>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</si>
  <si>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</si>
  <si>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</si>
  <si>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</si>
  <si>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</si>
  <si>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</si>
  <si>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</si>
  <si>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</si>
  <si>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</si>
  <si>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</si>
  <si>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</si>
  <si>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</si>
  <si>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</si>
  <si>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</si>
  <si>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</si>
  <si>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</si>
  <si>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</si>
  <si>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</si>
  <si>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</si>
  <si>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</si>
  <si>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</si>
  <si>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</si>
  <si>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</si>
  <si>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</si>
  <si>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</si>
  <si>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</si>
  <si>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</si>
  <si>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</si>
  <si>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</si>
  <si>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</si>
  <si>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</si>
  <si>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</si>
  <si>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</si>
  <si>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</si>
  <si>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</si>
  <si>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</si>
  <si>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</si>
  <si>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</si>
  <si>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</si>
  <si>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</si>
  <si>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</si>
  <si>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</si>
  <si>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</si>
  <si>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</si>
  <si>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</si>
  <si>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</si>
  <si>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</si>
  <si>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</si>
  <si>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</si>
  <si>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</si>
  <si>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</si>
  <si>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</si>
  <si>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</si>
  <si>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</si>
  <si>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</si>
  <si>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</si>
  <si>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</si>
  <si>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</si>
  <si>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</si>
  <si>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</si>
  <si>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</si>
  <si>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</si>
  <si>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</si>
  <si>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</si>
  <si>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</si>
  <si>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</si>
  <si>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</si>
  <si>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</si>
  <si>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</si>
  <si>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</si>
  <si>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</si>
  <si>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</si>
  <si>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</si>
  <si>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</si>
  <si>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</si>
  <si>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</si>
  <si>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</si>
  <si>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</si>
  <si>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</si>
  <si>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</si>
  <si>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</si>
  <si>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</si>
  <si>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</si>
  <si>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</si>
  <si>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</si>
  <si>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</si>
  <si>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</si>
  <si>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</si>
  <si>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</si>
  <si>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</si>
  <si>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</si>
  <si>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</si>
  <si>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</si>
  <si>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</si>
  <si>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</si>
  <si>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</si>
  <si>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</si>
  <si>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</si>
  <si>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</si>
  <si>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</si>
  <si>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</si>
  <si>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</si>
  <si>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</si>
  <si>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</si>
  <si>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</si>
  <si>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</si>
  <si>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</si>
  <si>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</si>
  <si>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</si>
  <si>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</si>
  <si>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</si>
  <si>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</si>
  <si>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</si>
  <si>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</si>
  <si>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</si>
  <si>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</si>
  <si>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</si>
  <si>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</si>
  <si>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</si>
  <si>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</si>
  <si>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</si>
  <si>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</si>
  <si>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</si>
  <si>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</si>
  <si>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</si>
  <si>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</si>
  <si>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</si>
  <si>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</si>
  <si>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</si>
  <si>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</si>
  <si>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</si>
  <si>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</si>
  <si>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</si>
  <si>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</si>
  <si>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</si>
  <si>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</si>
  <si>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</si>
  <si>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</si>
  <si>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</si>
  <si>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</si>
  <si>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</si>
  <si>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</si>
  <si>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</si>
  <si>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</si>
  <si>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</si>
  <si>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</si>
  <si>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</si>
  <si>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</si>
  <si>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</si>
  <si>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</si>
  <si>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</si>
  <si>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</si>
  <si>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</si>
  <si>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</si>
  <si>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</si>
  <si>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</si>
  <si>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</si>
  <si>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</si>
  <si>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</si>
  <si>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</si>
  <si>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</si>
  <si>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</si>
  <si>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</si>
  <si>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</si>
  <si>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</si>
  <si>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</si>
  <si>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</si>
  <si>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</si>
  <si>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</si>
  <si>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</si>
  <si>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</si>
  <si>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</si>
  <si>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</si>
  <si>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</si>
  <si>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</si>
  <si>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</si>
  <si>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</si>
  <si>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</si>
  <si>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</si>
  <si>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</si>
  <si>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</si>
  <si>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</si>
  <si>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</si>
  <si>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</si>
  <si>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</si>
  <si>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</si>
  <si>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</si>
  <si>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</si>
  <si>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</si>
  <si>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</si>
  <si>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</si>
  <si>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</si>
  <si>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</si>
  <si>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</si>
  <si>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</si>
  <si>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</si>
  <si>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</si>
  <si>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</si>
  <si>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</si>
  <si>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</si>
  <si>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</si>
  <si>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</si>
  <si>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</si>
  <si>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</si>
  <si>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</si>
  <si>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</si>
  <si>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</si>
  <si>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</si>
  <si>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</si>
  <si>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</si>
  <si>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</si>
  <si>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</si>
  <si>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</si>
  <si>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</si>
  <si>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</si>
  <si>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</si>
  <si>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</si>
  <si>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</si>
  <si>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</si>
  <si>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</si>
  <si>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</si>
  <si>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</si>
  <si>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</si>
  <si>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</si>
  <si>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</si>
  <si>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</si>
  <si>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</si>
  <si>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</si>
  <si>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</si>
  <si>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</si>
  <si>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</si>
  <si>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</si>
  <si>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</si>
  <si>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</si>
  <si>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</si>
  <si>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</si>
  <si>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</si>
  <si>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</si>
  <si>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</si>
  <si>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</si>
  <si>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</si>
  <si>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</si>
  <si>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</si>
  <si>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</si>
  <si>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</si>
  <si>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</si>
  <si>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</si>
  <si>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</si>
  <si>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</si>
  <si>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</si>
  <si>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</si>
  <si>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</si>
  <si>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</si>
  <si>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</si>
  <si>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</si>
  <si>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</si>
  <si>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</si>
  <si>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</si>
  <si>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</si>
  <si>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</si>
  <si>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</si>
  <si>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</si>
  <si>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</si>
  <si>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</si>
  <si>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</si>
  <si>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</si>
  <si>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</si>
  <si>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</si>
  <si>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</si>
  <si>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</si>
  <si>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</si>
  <si>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</si>
  <si>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</si>
  <si>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</si>
  <si>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</si>
  <si>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</si>
  <si>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</si>
  <si>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</si>
  <si>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</si>
  <si>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</si>
  <si>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</si>
  <si>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</si>
  <si>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</si>
  <si>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</si>
  <si>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</si>
  <si>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</si>
  <si>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</si>
  <si>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</si>
  <si>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</si>
  <si>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</si>
  <si>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</si>
  <si>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</si>
  <si>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</si>
  <si>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</si>
  <si>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</si>
  <si>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</si>
  <si>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</si>
  <si>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</si>
  <si>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</si>
  <si>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</si>
  <si>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</si>
  <si>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</si>
  <si>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</si>
  <si>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</si>
  <si>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</si>
  <si>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</si>
  <si>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</si>
  <si>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</si>
  <si>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</si>
  <si>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</si>
  <si>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</si>
  <si>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</si>
  <si>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</si>
  <si>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</si>
  <si>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</si>
  <si>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</si>
  <si>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</si>
  <si>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</si>
  <si>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</si>
  <si>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</si>
  <si>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</si>
  <si>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</si>
  <si>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</si>
  <si>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</si>
  <si>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</si>
  <si>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</si>
  <si>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</si>
  <si>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</si>
  <si>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</si>
  <si>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</si>
  <si>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</si>
  <si>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</si>
  <si>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</si>
  <si>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</si>
  <si>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</si>
  <si>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</si>
  <si>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</si>
  <si>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</si>
  <si>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</si>
  <si>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</si>
  <si>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</si>
  <si>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</si>
  <si>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</si>
  <si>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</si>
  <si>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</si>
  <si>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</si>
  <si>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</si>
  <si>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</si>
  <si>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</si>
  <si>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</si>
  <si>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</si>
  <si>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</si>
  <si>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</si>
  <si>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</si>
  <si>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</si>
  <si>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</si>
  <si>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</si>
  <si>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</si>
  <si>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</si>
  <si>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</si>
  <si>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</si>
  <si>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</si>
  <si>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</si>
  <si>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</si>
  <si>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</si>
  <si>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</si>
  <si>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</si>
  <si>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</si>
  <si>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</si>
  <si>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</si>
  <si>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</si>
  <si>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</si>
  <si>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</si>
  <si>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</si>
  <si>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</si>
  <si>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</si>
  <si>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</si>
  <si>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</si>
  <si>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</si>
  <si>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</si>
  <si>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</si>
  <si>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</si>
  <si>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</si>
  <si>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</si>
  <si>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</si>
  <si>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</si>
  <si>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</si>
  <si>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</si>
  <si>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</si>
  <si>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</si>
  <si>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</si>
  <si>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</si>
  <si>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</si>
  <si>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</si>
  <si>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</si>
  <si>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</si>
  <si>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</si>
  <si>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</si>
  <si>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</si>
  <si>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</si>
  <si>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</si>
  <si>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</si>
  <si>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</si>
  <si>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</si>
  <si>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</si>
  <si>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</si>
  <si>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</si>
  <si>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</si>
  <si>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</si>
  <si>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</si>
  <si>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</si>
  <si>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</si>
  <si>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</si>
  <si>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</si>
  <si>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</si>
  <si>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</si>
  <si>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</si>
  <si>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</si>
  <si>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</si>
  <si>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</si>
  <si>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</si>
  <si>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</si>
  <si>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</si>
  <si>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</si>
  <si>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</si>
  <si>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</si>
  <si>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</si>
  <si>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</si>
  <si>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</si>
  <si>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</si>
  <si>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</si>
  <si>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</si>
  <si>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</si>
  <si>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</si>
  <si>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</si>
  <si>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</si>
  <si>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</si>
  <si>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</si>
  <si>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</si>
  <si>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</si>
  <si>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</si>
  <si>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</si>
  <si>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</si>
  <si>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</si>
  <si>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</si>
  <si>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</si>
  <si>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</si>
  <si>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</si>
  <si>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</si>
  <si>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</si>
  <si>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</si>
  <si>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</si>
  <si>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</si>
  <si>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</si>
  <si>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</si>
  <si>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</si>
  <si>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</si>
  <si>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</si>
  <si>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</si>
  <si>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</si>
  <si>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</si>
  <si>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</si>
  <si>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</si>
  <si>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</si>
  <si>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</si>
  <si>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</si>
  <si>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</si>
  <si>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</si>
  <si>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</si>
  <si>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</si>
  <si>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</si>
  <si>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</si>
  <si>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</si>
  <si>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</si>
  <si>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</si>
  <si>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</si>
  <si>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</si>
  <si>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</si>
  <si>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</si>
  <si>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</si>
  <si>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</si>
  <si>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</si>
  <si>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</si>
  <si>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</si>
  <si>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</si>
  <si>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</si>
  <si>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</si>
  <si>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</si>
  <si>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</si>
  <si>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</si>
  <si>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</si>
  <si>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</si>
  <si>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</si>
  <si>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</si>
  <si>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</si>
  <si>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</si>
  <si>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</si>
  <si>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</si>
  <si>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</si>
  <si>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</si>
  <si>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</si>
  <si>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</si>
  <si>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</si>
  <si>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</si>
  <si>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</si>
  <si>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</si>
  <si>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</si>
  <si>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</si>
  <si>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</si>
  <si>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</si>
  <si>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</si>
  <si>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</si>
  <si>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</si>
  <si>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</si>
  <si>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</si>
  <si>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</si>
  <si>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</si>
  <si>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</si>
  <si>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</si>
  <si>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</si>
  <si>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</si>
  <si>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</si>
  <si>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</si>
  <si>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</si>
  <si>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</si>
  <si>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</si>
  <si>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</si>
  <si>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</si>
  <si>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</si>
  <si>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</si>
  <si>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</si>
  <si>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</si>
  <si>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</si>
  <si>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</si>
  <si>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</si>
  <si>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</si>
  <si>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</si>
  <si>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</si>
  <si>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</si>
  <si>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</si>
  <si>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</si>
  <si>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</si>
  <si>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</si>
  <si>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</si>
  <si>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</si>
  <si>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</si>
  <si>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</si>
  <si>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</si>
  <si>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</si>
  <si>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</si>
  <si>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</si>
  <si>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</si>
  <si>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</si>
  <si>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</si>
  <si>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</si>
  <si>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</si>
  <si>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</si>
  <si>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</si>
  <si>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</si>
  <si>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</si>
  <si>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</si>
  <si>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</si>
  <si>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</si>
  <si>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</si>
  <si>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</si>
  <si>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</si>
  <si>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</si>
  <si>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</si>
  <si>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</si>
  <si>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</si>
  <si>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</si>
  <si>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</si>
  <si>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</si>
  <si>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</si>
  <si>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</si>
  <si>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</si>
  <si>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</si>
  <si>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</si>
  <si>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</si>
  <si>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</si>
  <si>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</si>
  <si>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</si>
  <si>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</si>
  <si>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</si>
  <si>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</si>
  <si>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</si>
  <si>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</si>
  <si>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</si>
  <si>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</si>
  <si>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</si>
  <si>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</si>
  <si>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</si>
  <si>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</si>
  <si>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</si>
  <si>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</si>
  <si>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</si>
  <si>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</si>
  <si>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</si>
  <si>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</si>
  <si>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</si>
  <si>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</si>
  <si>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</si>
  <si>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</si>
  <si>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</si>
  <si>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</si>
  <si>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</si>
  <si>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</si>
  <si>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</si>
  <si>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</si>
  <si>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</si>
  <si>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</si>
  <si>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</si>
  <si>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GraphSource░TwitterSearch3▓GraphTerm░salam nol persen▓ImportDescription░The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above.▓ImportSuggestedTitle░salam nol persen Twitter NodeXL SNA Map and Report for Rabu, 29 November 2023 at 11.24 UTC▓ImportSuggestedFileNameNoExtension░2023-11-29 11-24-39 NodeXL Twitter Search salam nol persen▓LayoutAlgorithm░The graph was laid out using the Fruchterman-Reingold layout algorithm.▓GraphDirectedness░The graph is directed.▓GroupingDescription░The graph's vertices were grouped by cluster using the Wakita-Tsurumi cluster algorithm.</t>
  </si>
  <si>
    <t>▓0▓0▓0▓True▓Black▓Black▓▓▓0▓0▓0▓0▓0▓False▓▓0▓0▓0▓0▓0▓False▓▓0▓0▓0▓True▓Black▓Black▓▓In-Degree▓1▓3▓0▓1.5▓10▓True▓▓0▓0▓0▓0▓0▓False▓▓0▓0▓0▓0▓0▓False▓▓0▓0▓0▓0▓0▓False</t>
  </si>
  <si>
    <t xml:space="preserve">
      &lt;section name="AutoFillUserSettings3"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&lt;/sectionGroup&gt;
  &lt;/configSections&gt;
  &lt;userSettings&gt;
    &lt;GraphMetricUserSettings&gt;
      &lt;setting name="GraphMetricsToCalculate" serializeAs="String"&gt;
        &lt;value&gt;InDegree, OutDegree, BrandesFastCentralities, OverallMetrics, GroupMetrics, Words, ReciprocatedVertexPairRatio, TimeSeries, Paths, NetworkTopItems&lt;/value&gt;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t>
  </si>
  <si>
    <t>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t>
  </si>
  <si>
    <t>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t>
  </si>
  <si>
    <t>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Nol persen salam #salamnolpersen ya oke semoga puas masuk oce sama harus waras sehat dukung perjuangan nyata bersih hapus ingin semangat penting boleh ikut adil mendukung jujur berharap mantap cerdas mungkin intelektual cukup percaya wajar kaya bangun berpihak sejati janji terimakasih legal kuat upaya tandatangani menegakkan mengakui keren sukses layak unggul Amanah maju integritas banggain mesti▓SentimentWordsInList2░2-faced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
  </si>
  <si>
    <t>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t>
  </si>
  <si>
    <t>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t>
  </si>
  <si>
    <t>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t>
  </si>
  <si>
    <t>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t>
  </si>
  <si>
    <t xml:space="preserve">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t>
  </si>
  <si>
    <t>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t>
  </si>
  <si>
    <t>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t>
  </si>
  <si>
    <t>The graph's vertices were grouped by cluster using the Wakita-Tsurumi cluster algorithm.</t>
  </si>
  <si>
    <t>https://travel.detik.com/travel-news/d-5934657/turis-perdana-ke-bali-dibiayai-kemenparekraf-garuda-dan-hotel https://bit.ly/3rJk6To https://keuangannews.id/jokowi-disebut-melakukan-kkn-terang-terangan-gibran-dan-bobby-nasution-disinggung/ https://cnnindonesia.com/ekonomi/20220214160006-532-759025/ri-turun-jadi-negara-penghasilan-menengah-bawah-bi-salahkan-pandemi?utm_source=twitter&amp;utm_medium=oa&amp;utm_content=cnnindonesia&amp;utm_campaign=cmssocmed</t>
  </si>
  <si>
    <t>https://news.detik.com/berita/d-5860072/survei-arci-804-masyarakat-jatim-ingin-presidential-threshold-0 https://chng.it/XpRxqxpy https://chng.it/K4pfyT7w</t>
  </si>
  <si>
    <t>https://politik.rmol.id/read/2022/01/11/518874/Bersama-Refly-Harun-dan-Denny-Indrayana,-Gugatan-Presidential-Threshold-Menjalar-ke-AS,-Jerman-hingga-Qatar- https://www.oposisicerdas.com/2021/12/kembali-maju-ke-mk-agar-presidential.html</t>
  </si>
  <si>
    <t>http://www.gelora.co/2022/02/anggota-dpr-desak-kemenhub-usut-tuntas.html https://mediaindonesia.com/politik-dan-hukum/611063/anies-prioritaskan-pengesahan-ruu-perampasan-aset-jika-terpilih-presiden https://arahjaya.com/2019/07/26/rakyat-tidak-setuju-ibukota-negara-pindah-sosiolog-beri-solusi/</t>
  </si>
  <si>
    <t>https://politik.rmol.id/read/2021/12/12/515055/alasan-firli-agar-preshold-0-persen-banyak-kepala-daerah-keluhkan-biaya-politik-dan-akhirnya-korupsi https://twb.nz/presidentialthreshold0persen</t>
  </si>
  <si>
    <t>kpubiangkerokkecurangan kpubiangkerokkecurangan referendummakzulkanjokowi referendummakzulkanjokowi</t>
  </si>
  <si>
    <t>salamnolpersen salamnolpersen salamnolpersen sindonews bukanberitabiasa hapuspt20persen hapuspt20persen salamnolpersen periksaanaklurah periksaanaklurah</t>
  </si>
  <si>
    <t>salamnolpersen 2024rakyatpunyakuasa dukungubedilahbadrun salamnolpersen lawankkn savedpd temponasional</t>
  </si>
  <si>
    <t>salamnolpersen dprmprmati salamnolpersen salamnolpersen</t>
  </si>
  <si>
    <t>salamnolpersen salamnolpersen salamnolpersen</t>
  </si>
  <si>
    <t>salamnolpersen gugatpresidentialthreshold hapuspt20persen presidentielles2022 salamnolpersen innallillahi walikotabandung gopay gugatpresidentialthreshold salamnolpersen peoplepower salamnolpersen</t>
  </si>
  <si>
    <t>salamnolpersen revolusiakhlaq salamnolpersen</t>
  </si>
  <si>
    <t>tolakruu_kuhp tolakruu_kuhp jokowimatikandemokrasi jokowimatikandemokrasi bebaskanferdinand jokowigagal jendralbalihoantiulama tangkapferdinand presiden salamnolpersen</t>
  </si>
  <si>
    <t>keuangannews_id msaid_didu cnnindonesia</t>
  </si>
  <si>
    <t>fahiraidris refrizalskb</t>
  </si>
  <si>
    <t>geiszchalifah __dtya_ oposisicerdas la_hamu z3n7h03n7 yosnggarang zulkhairylw89 kompastv democrazymedia</t>
  </si>
  <si>
    <t>mardanialisera giginpraginanto ramlirizal</t>
  </si>
  <si>
    <t>geloraco mdy_asmara1701 fahiraidris musniumar alisyarief taufiqa27</t>
  </si>
  <si>
    <t>bima_____ maspiyuaja</t>
  </si>
  <si>
    <t>pksejahtera knpiharis official_pan dpdri officialmkri dpdridkijakarta tamsilinrung knpimediacentre reflyhz ramlirizal</t>
  </si>
  <si>
    <t>mohmahfudmd rockygerung_rg prabowo ridwankamil aniesbaswedan khofifahip puanmaharani_ri sailabi1</t>
  </si>
  <si>
    <t>changeorg_id ramlirizal lanyallamm1</t>
  </si>
  <si>
    <t>geiszchalifah mdy_asmara1701 marlina_idha aniesbaswedan bahlillahadalia</t>
  </si>
  <si>
    <t>fpksdprri pksejahtera hnurwahid fahiraidris tifsembiring aheryawan officialmkri</t>
  </si>
  <si>
    <t>ramlirizal unj_official sonyareksby reflyhz</t>
  </si>
  <si>
    <t>gerindra dimasakbarz fadlizon yanharahap uyokback onlyfrens dpdri bemui_official sutanmangara official_pan</t>
  </si>
  <si>
    <t>msaid_didu ridwankamil mohmahfudmd sailabi1 prabowo slamet_24wiro puanmaharani_ri khofifahip rockygerung_rg kurnia_awan85</t>
  </si>
  <si>
    <t>tempodotco cnnindonesia keuangannews_id alvinlie21 acoybk nenkmonica hisyammochtar adhiemassardi raka_shiwie pahmilubis10</t>
  </si>
  <si>
    <t>fahiraidris ucoxregar sahabat_bangsa refrizalskb mr_arogan_ changeorg_id pakkumi93921831 lanyallamm1 arif_hakim86 bonco19</t>
  </si>
  <si>
    <t>kompastv marlina_idha aniesbaswedan geiszchalifah menang2024 yosnggarang akalseh18332460 z3n7h03n7 bahlillahadalia ahamad_ghazali</t>
  </si>
  <si>
    <t>mmargani5 pksejahtera fpksdprri tifsembiring aheryawan hnurwahid mardanialisera officialmkri giginpraginanto</t>
  </si>
  <si>
    <t>geloraco alisyarief musniumar mdy_asmara1701 lautpaku esupriatna20 rizalmedian ahmadga18785105 taufiqa27</t>
  </si>
  <si>
    <t>sonyareksby ramlirizal johnblack03 bima_____ masyarakat2021 unj_official imamsunartoarif ardchun</t>
  </si>
  <si>
    <t>democrazymedia fear37030 manisewidiarti selamanyamulyo</t>
  </si>
  <si>
    <t>URLs in Tweet by Count</t>
  </si>
  <si>
    <t>URLs in Tweet by Salience</t>
  </si>
  <si>
    <t>Hashtags in Tweet by Count</t>
  </si>
  <si>
    <t>Hashtags in Tweet by Salience</t>
  </si>
  <si>
    <t xml:space="preserve">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Munafik kkn #periksaanaklurah lupa biar gugatan utang jangan salah susah mimpi koma mafia bohong bubar cadas munapik mundur melawan kelaut ketanah cukong dosa tenggelamkan anjing bersihkan turun menolak perubahan tersandera▓AddVertexContent░True▓AddWordList░True&lt;/value&gt;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&lt;Delimiter&gt;None&lt;/Delimiter&gt;
              &lt;/NetworkTopItemsUserSettings&gt;
              &lt;NetworkTopItemsUserSettings&gt;
                &lt;NumberOfItemsToGet&gt;10&lt;/NumberOfItemsToGet&gt;
                &lt;WorksheetName&gt;Edges&lt;/WorksheetName&gt;
                &lt;TableName&gt;Edges&lt;/TableName&gt;
                &lt;ColumnName&gt;Hashtags in Tweet&lt;/ColumnName&gt;
                &lt;Delimiter&gt;None&lt;/Delimiter&gt;
              &lt;/NetworkTopItemsUserSettings&gt;
            &lt;/NetworkTopItemsUserSettingsToCalculate&gt;
          &lt;/NetworkTopItemsListUserSettings&gt;
        &lt;/value&gt;
      &lt;/setting&gt;
    &lt;/GraphMetricUserSettings&gt;
    &lt;MergeDuplicateEdgesUserSettings&gt;
      &lt;setting name="ThirdColumnNameForDuplicateDetection" serializeAs="String"&gt;
        &lt;value&gt;Relationship&lt;/value&gt;
      &lt;/setting&gt;
      &lt;setting name="DeleteDuplicates" serializeAs="String"&gt;
        &lt;value&gt;False&lt;/value&gt;
      &lt;/setting&gt;
      &lt;setting name="CountDuplicates" serializeAs="String"&gt;
        &lt;value&gt;True&lt;/value&gt;
      &lt;/setting&gt;
    &lt;/MergeDuplicateEdgesUserSettings&gt;
    &lt;AutomatedGraphImageUserSettingsDialog2&gt;
      &lt;setting name="FormLocation" serializeAs="String"&gt;
        &lt;value&gt;26, 26&lt;/value&gt;
      &lt;/setting&gt;
      &lt;setting name="FormWindowState" serializeAs="String"&gt;
        &lt;value&gt;Normal&lt;/value&gt;
      &lt;/setting&gt;
      &lt;setting name="FormSize" serializeAs="String"&gt;
        &lt;value&gt;387, 417&lt;/value&gt;
      &lt;/setting&gt;
      &lt;setting name="HasBeenSaved" serializeAs="String"&gt;
        &lt;value&gt;True&lt;/value&gt;
      &lt;/setting&gt;
    &lt;/AutomatedGraphImageUserSettingsDialog2&gt;
    &lt;AlphaDialog&gt;
      &lt;setting name="FormLocation" serializeAs="String"&gt;
        &lt;value&gt;182, 182&lt;/value&gt;
      &lt;/setting&gt;
      &lt;setting name="FormWindowState" serializeAs="String"&gt;
        &lt;value&gt;Normal&lt;/value&gt;
      &lt;/setting&gt;
      &lt;setting name="Alpha" serializeAs="String"&gt;
        &lt;value&gt;100&lt;/value&gt;
      &lt;/setting&gt;
      &lt;setting name="FormSize" serializeAs="String"&gt;
        &lt;value&gt;211, 128&lt;/value&gt;
      &lt;/setting&gt;
      &lt;setting name="HasBeenSaved" serializeAs="String"&gt;
        &lt;value&gt;True&lt;/value&gt;
      &lt;/setting&gt;
    &lt;/AlphaDialog&gt;
    &lt;EdgeCreationUserSettingsDialog&gt;
      &lt;setting name="FormLocation" serializeAs="String"&gt;
        &lt;value&gt;52, 52&lt;/value&gt;
      &lt;/setting&gt;
      &lt;setting name="FormWindowState" serializeAs="String"&gt;
        &lt;value&gt;Normal&lt;/value&gt;
      &lt;/setting&gt;
      &lt;setting name="FormSize" serializeAs="String"&gt;
        &lt;value&gt;540, 244&lt;/value&gt;
      &lt;/setting&gt;
      &lt;setting name="HasBeenSaved" serializeAs="String"&gt;
        &lt;value&gt;True&lt;/value&gt;
      &lt;/setting&gt;
    &lt;/EdgeCreationUserSettingsDialog&gt;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t>
  </si>
  <si>
    <t xml:space="preserve">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t>
  </si>
  <si>
    <t xml:space="preserve">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&lt;value&gt;290, 168&lt;/value&gt;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name="FormWindowState" serializeAs="String"&gt;
        &lt;value&gt;Normal&lt;/value&gt;
      &lt;/setting&gt;
      &lt;setting name="FormSize" serializeAs="String"&gt;
        &lt;value&gt;211, 128&lt;/value&gt;
      &lt;/setting&gt;
      &lt;setting name="HasBeenSaved" serializeAs="String"&gt;
        &lt;value&gt;True&lt;/value&gt;
      &lt;/setting&gt;
      &lt;setting name="VertexRadius" serializeAs="String"&gt;
        &lt;value&gt;3&lt;/value&gt;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t>
  </si>
  <si>
    <t>\M-SI\Documents\project 2023&lt;/value&gt;
      &lt;/setting&gt;
    &lt;/CreateSubgraphImagesDialog3&gt;
    &lt;AutoFillWorkbookDialog5&gt;
      &lt;setting name="FormLocation" serializeAs="String"&gt;
        &lt;value&gt;997, 85&lt;/value&gt;
      &lt;/setting&gt;
      &lt;setting name="FormWindowState" serializeAs="String"&gt;
        &lt;value&gt;Normal&lt;/value&gt;
      &lt;/setting&gt;
      &lt;setting name="TabControlSelectedIndex" serializeAs="String"&gt;
        &lt;value&gt;2&lt;/value&gt;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&lt;value&gt;793, 228&lt;/value&gt;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&lt;setting name="TextWrapWillBeTurnedOff"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&lt;value&gt;882, 149&lt;/value&gt;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&lt;value&gt;0&lt;/value&gt;
      &lt;/setting&gt;
    &lt;/GeneralUserSettingsDialog5&gt;
    &lt;GraphMetricsDialog6&gt;
      &lt;setting name="FormLocation" serializeAs="String"&gt;
        &lt;value&gt;472, 137&lt;/value&gt;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t>
  </si>
  <si>
    <t>persen nol salam ini pt rakyat negeri spt official_pan mimpi</t>
  </si>
  <si>
    <t>persen bung nol salam msaid_didu mohmahfudmd sun dan untuk puanmaharani_ri</t>
  </si>
  <si>
    <t>yg salam persen nol #salamnolpersen dan rakyat ada partai dari</t>
  </si>
  <si>
    <t>persen nol salam threshold #salamnolpersen fahiraidris perjuangan dan presidential mahkamah</t>
  </si>
  <si>
    <t>persen nol salam dan oce dp oke geiszchalifah munafik mrk</t>
  </si>
  <si>
    <t>pemilu persen dan yg nol salam fpksdprri ruu 20 tahapan</t>
  </si>
  <si>
    <t>salam persen nol dp munafik dan anis geloraco gorong masuk</t>
  </si>
  <si>
    <t>persen nol salam dan kkn yg bersih ramlirizal untuk mpr</t>
  </si>
  <si>
    <t>nya tidak #salamnolpersen berharap kerja rakyat yang dan tvonenews loe</t>
  </si>
  <si>
    <t>persen nol salam buzzerp yg ini partai hapus negara jokowi</t>
  </si>
  <si>
    <t>salam persen nol</t>
  </si>
  <si>
    <t>juliantono,salam</t>
  </si>
  <si>
    <t>persen,bung</t>
  </si>
  <si>
    <t>mohmahfudmd,puanmaharani_ri</t>
  </si>
  <si>
    <t>partai,negara</t>
  </si>
  <si>
    <t>2024,tenggelamkan</t>
  </si>
  <si>
    <t>timur,yg</t>
  </si>
  <si>
    <t>mahkamah,konstitusi</t>
  </si>
  <si>
    <t>tandatangani,petisi</t>
  </si>
  <si>
    <t>persen,tandatangani</t>
  </si>
  <si>
    <t>salam,pt</t>
  </si>
  <si>
    <t>nol,persen  salam,nol  negeri,ini  beramai,ramai</t>
  </si>
  <si>
    <t>nol,persen  salam,nol  persen,dari  refly,harun  ke,mk  daftarkan,gugatan  presidential,threshold  mk,refly  juliantono,salam  pt,20</t>
  </si>
  <si>
    <t>nol,persen  salam,nol  persen,bung  mohmahfudmd,puanmaharani_ri  msaid_didu,salam</t>
  </si>
  <si>
    <t>nol,persen  salam,nol  persen,2024  kang,ubed  ubed,bukan  dari,timur  partai,negara  2024,tenggelamkan  timur,yg  cadas,petarung</t>
  </si>
  <si>
    <t>nol,persen  salam,nol  presidential,threshold  mahkamah,konstitusi  konstitusi,republik  indonesia,presidential  republik,indonesia  threshold,nol  tandatangani,petisi  persen,tandatangani</t>
  </si>
  <si>
    <t>nol,persen  salam,nol  dp,persen  oce,oke  nol,dp  oke,dan  dan,reklamasi  dan,oce  persen,dan  salam,pt</t>
  </si>
  <si>
    <t>nol,persen  salam,nol  ruu,ikn  tahapan,pemilu</t>
  </si>
  <si>
    <t>salam,nol  nol,dp  dp,persen  nol,persen  salam,air  air,hujan  masuk,gorong  raksasa,kelaut  junjunganmu,anis  oce,oke</t>
  </si>
  <si>
    <t>nol,persen  salam,nol  bima_____,ramlirizal  akademik,dan  ambang,batas</t>
  </si>
  <si>
    <t>nol,persen  salam,nol  buzzerp,buzzerp  hapus,pt20  yg,tdk</t>
  </si>
  <si>
    <t>45 maju dengan agar 222 lieus persen presidential uu mk</t>
  </si>
  <si>
    <t>dan utk untuk ambang batas akademik persen kepala kpk universitas</t>
  </si>
  <si>
    <t>threshold lanyallamm1 persen amp jatim 4 0 untuk dlm agar</t>
  </si>
  <si>
    <t>#jokowimatikandemokrasi pt20 persen nol #tolakruu_kuhp negara salam hapus gambar 2024</t>
  </si>
  <si>
    <t>mk pt nol dia sudah konstitusi sepertinya kekuasaan tangan kehabisan</t>
  </si>
  <si>
    <t>vokal cherista refly nol _ ogie persen lagu syair salam</t>
  </si>
  <si>
    <t>#periksaanaklurah presidential nol persen threshold salam</t>
  </si>
  <si>
    <t>persen nol salam perjuangan belum refrizalskb petisi mahkamah fahiraidris berakhir</t>
  </si>
  <si>
    <t>yg buzzerp partai salam nol jd lupa ini anda persen</t>
  </si>
  <si>
    <t>persen nol bung salam msaid_didu didu kongres dimana nih 0</t>
  </si>
  <si>
    <t>nol persen salam maspiyuaja reflyhz dukung penuh sonyareksby bima_____ ramlirizal</t>
  </si>
  <si>
    <t>ada persen ini nol #murahinkebutuhanpokok dalam salam menjelang dipertimbangkan permohonan</t>
  </si>
  <si>
    <t>gugatan harun pthej5r5s8 https persen presidential mk t ke refly</t>
  </si>
  <si>
    <t>persen nol kemampuan anies otaknya sobat pendukung waras dari kelakuan</t>
  </si>
  <si>
    <t>pagi yg ini di wb hasil slalu aktivitas tetap koma</t>
  </si>
  <si>
    <t>#periksaanaklurah presidential nol dari persen threshold youtube salam</t>
  </si>
  <si>
    <t>gugatan harun persen presidential mk ke refly nol ferry daftarkan</t>
  </si>
  <si>
    <t>rumah jateng warga persen bahagianya nol msn dari ganjar dapat</t>
  </si>
  <si>
    <t>nol persen #salamnolpersen salam</t>
  </si>
  <si>
    <t>daftarkan refly nol persen ke pt mk gugatan salam harun</t>
  </si>
  <si>
    <t>nol pcr persen salam</t>
  </si>
  <si>
    <t>yg salam persen nol #salamnolpersen partai rakyat amp dari 2024</t>
  </si>
  <si>
    <t>persen nol salam partai hapuskan capres fahiraidris mrk aheryawan harus</t>
  </si>
  <si>
    <t>dan salam nol dp oce persen oke munafik reklamasi laki</t>
  </si>
  <si>
    <t>persen nol salam jadi fahiraidris sistem ini geloraco pt di</t>
  </si>
  <si>
    <t>nol persen uni semangat fahiraidris mantap salam</t>
  </si>
  <si>
    <t>persen nol salam geiszchalifah deh pt saja kompastv #salam yosnggarang</t>
  </si>
  <si>
    <t>mati bismillah dengan para profesor persen democrazymedia niat koruptor nol</t>
  </si>
  <si>
    <t>persen #kpubiangkerokkecurangan #referendummakzulkanjokowi sholihaly tiadayanglain2 nol salam s_amaluddin wartegperjuang1 putunmy</t>
  </si>
  <si>
    <t>salam nol persen jawab yg berhutang tidak nya di dari</t>
  </si>
  <si>
    <t>nol persen msaid_didu salam</t>
  </si>
  <si>
    <t>salam persen dp munafik anis nol dan gorong masuk kelaut</t>
  </si>
  <si>
    <t>#salamnolpersen demokrasi akunyangbaik persen ontohbrontoh nol start indonesiafaried pt lanyallaacademy</t>
  </si>
  <si>
    <t>salam insya nol persen allah dikabulkan bulan oposisicerdas ini bintang</t>
  </si>
  <si>
    <t>ada ngak indonesia yg pajaknya persen dicina perusahaan nol pancasila</t>
  </si>
  <si>
    <t>di prcy nol persen jokwi bima_____ ramlirizal salam</t>
  </si>
  <si>
    <t>budok persen siajapul nol bole menkes oke reflyhz wapres salam</t>
  </si>
  <si>
    <t>berlabuh persen #salamnolpersen rabb nol segera semoga reflyhz pt yaa</t>
  </si>
  <si>
    <t>rh selalu sehat persen nol semoga reflyhz bang salam</t>
  </si>
  <si>
    <t>changeorg_id indonesia persen presidential tandatangani republik nol 0 konstitusi mahkamah</t>
  </si>
  <si>
    <t>bachot nol mdy_asmara1701 persen sama saja penjilatnya dan ngoaahahahaaaaasu junjungan</t>
  </si>
  <si>
    <t>mantap megapkeliduan gak orang sembarangan sehat bravo persen ruhutsitompul nol</t>
  </si>
  <si>
    <t>embel yang hunian kenal kerja membantu #sahabatganjar mendapatkan terbukti sebelumnya</t>
  </si>
  <si>
    <t>kalau aja suruh ya rizmaya__ salam nol dp jadikan pdemokrat</t>
  </si>
  <si>
    <t>nol persen papa_loren salam</t>
  </si>
  <si>
    <t>puas dikasih mandang warna tuguan waring warni parkir salam nol</t>
  </si>
  <si>
    <t>nol persen salam markonah_003 jokowi</t>
  </si>
  <si>
    <t>berharap tidak loe mendeka mimpi parkir salam di nol banjir</t>
  </si>
  <si>
    <t>sama bandnya bang yg fahrihamzah barunya perlombaan biar coba salam</t>
  </si>
  <si>
    <t>nol persen convomf yt salam nonton</t>
  </si>
  <si>
    <t>bohong udah ya karena persen boleh nol halu biasa susah</t>
  </si>
  <si>
    <t>salam pancasila nol persen</t>
  </si>
  <si>
    <t>ogi refly nol via persen lagu youtube penyanyi lirik salam</t>
  </si>
  <si>
    <t>#periksaanaklurah maju persen mundur nol salamdiaha pantang terus salam</t>
  </si>
  <si>
    <t>psi_id nol persen mudjib_trisatya salam</t>
  </si>
  <si>
    <t>orang tersandera wp lain mardigu tidak bisniscom persen oleh nol</t>
  </si>
  <si>
    <t>ahmad untuk yani persen salam 0 youtubeilc nol saudara pt</t>
  </si>
  <si>
    <t>menarik nol game persen end nih biar sblm 2024 cpt</t>
  </si>
  <si>
    <t>anunksalsabiel1 nol persen salam</t>
  </si>
  <si>
    <t>nol jauh mines sebelumnya persen klo lah ketimbang ayanimel dari</t>
  </si>
  <si>
    <t>nagari salam jokowi ka pariangan pun batusangka tersebut datang salah</t>
  </si>
  <si>
    <t>utk ambang batas akademik persen kepala kpk universitas moral 1</t>
  </si>
  <si>
    <t>lanyallamm1 persen amp jatim 4 0 untuk dlm agar ramli</t>
  </si>
  <si>
    <t>perjuangan belum refrizalskb petisi mahkamah fahiraidris berakhir semoga pd 0</t>
  </si>
  <si>
    <t>maspiyuaja reflyhz dukung penuh sonyareksby bima_____ ramlirizal nol persen salam</t>
  </si>
  <si>
    <t>partai ada ubed kang yg bukan pindah ibu salam rakyat</t>
  </si>
  <si>
    <t>laki pinjam banggain lo buat kepusat geiszchalifah drun dana stadion</t>
  </si>
  <si>
    <t>geiszchalifah deh pt saja kompastv #salam yosnggarang democrazymedia bahlillahadalia bang</t>
  </si>
  <si>
    <t>jawab yg berhutang tidak nya di dari agar mempunyai keuangannews_id</t>
  </si>
  <si>
    <t>demokrasi akunyangbaik persen ontohbrontoh nol start indonesiafaried pt lanyallaacademy negara</t>
  </si>
  <si>
    <t>kaya lu hendri78chniago koma suara sekian oh bang alloefrat ngerasa</t>
  </si>
  <si>
    <t>markonah_003 jokowi nol persen salam</t>
  </si>
  <si>
    <t>https://nodexlgraphgallery.org/Pages/Graph.aspx?graphID=294537</t>
  </si>
  <si>
    <t>https://nodexlgraphgallery.org/Images/Image.ashx?graphID=294537&amp;type=f</t>
  </si>
  <si>
    <t xml:space="preserve">&gt;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&lt;AutoScaleUserSettings&gt;
      &lt;setting name="AutoScale" serializeAs="String"&gt;
        &lt;value&gt;True&lt;/value&gt;
      &lt;/setting&gt;
    &lt;/AutoScaleUserSettings&gt;
    &lt;GraphZoomAndScaleUserSettings&gt;
      &lt;setting name="GraphScale" serializeAs="String"&gt;
        &lt;value&gt;0.2&lt;/value&gt;
      &lt;/setting&gt;
    &lt;/GraphZoomAndScaleUserSettings&gt;
    &lt;GeneralUserSettings4&gt;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20 2147483647 Black True 200 Black 100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&lt;value&gt;-1&lt;/value&gt;
      &lt;/setting&gt;
      &lt;setting name="SelectedEdgeColor" serializeAs="String"&gt;
        &lt;value&gt;Red&lt;/value&gt;
      &lt;/setting&gt;
      &lt;setting name="VertexShape" serializeAs="String"&gt;
        &lt;value&gt;Image&lt;/value&gt;
      &lt;/setting&gt;
      &lt;setting name="EdgeCurveStyle" serializeAs="String"&gt;
        &lt;value&gt;Bezier&lt;/value&gt;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&lt;value&gt;WakitaTsurumi&lt;/value&gt;
      &lt;/setting&gt;
    &lt;/ClusterUserSettings&gt;
    &lt;AutoFillUserSettings3&gt;
      &lt;setting name="EdgeWidthSourceColumnName" serializeAs="String"&gt;
        &lt;value /&gt;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t>
  </si>
  <si>
    <t xml:space="preserve">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 /&gt;
      &lt;/setting&gt;
      &lt;setting name="VertexAlphaSourceColumnName" serializeAs="String"&gt;
        &lt;value /&gt;
      &lt;/setting&gt;
      &lt;setting name="VertexRadiusSourceColumnName" serializeAs="String"&gt;
        &lt;value&gt;In-Degree&lt;/value&gt;
      &lt;/setting&gt;
      &lt;setting name="EdgeColorSourceColumnName" serializeAs="String"&gt;
        &lt;value /&gt;
      &lt;/setting&gt;
      &lt;setting name="VertexLabelSourceColumnName" serializeAs="String"&gt;
        &lt;value /&gt;
      &lt;/setting&gt;
      &lt;setting name="VertexPolarAngleSourceColumnName" serializeAs="String"&gt;
        &lt;value /&gt;
      &lt;/setting&gt;
      &lt;setting name="EdgeAlphaSourceColumnName" serializeAs="String"&gt;
        &lt;value /&gt;
      &lt;/setting&gt;
      &lt;setting name="VertexXSourceColumnName" serializeAs="String"&gt;
        &lt;value /&gt;
      &lt;/setting&gt;
      &lt;setting name="VertexColorDetails" serializeAs="String"&gt;
        &lt;value&gt;False False 0 10 241, 137, 4 46, 7, 195 False False True&lt;/value&gt;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1.5 10 True True&lt;/value&gt;
      &lt;/setting&gt;
      &lt;setting name="VertexXDetails" serializeAs="String"&gt;
        &lt;value&gt;False False 0 0 0 9999 False False&lt;/value&gt;
      &lt;/setting&gt;
      &lt;setting name="EdgeAlphaDetails" serializeAs="String"&gt;
        &lt;value&gt;False False 0 100 10 100 False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&lt;AutomateTasksUserSettings&gt;
      &lt;setting name="AutomateThisWorkbookOnly" serializeAs="String"&gt;
        &lt;value&gt;True&lt;/value&gt;
      &lt;/setting&gt;
      &lt;setting name="FolderToAutomate" serializeAs="String"&gt;
        &lt;value /&gt;
      &lt;/setting&gt;
      &lt;setting name="TasksToRun" serializeAs="String"&gt;
        &lt;value&gt;AutoFillWorkbook&lt;/value&gt;
      &lt;/setting&gt;
    &lt;/AutomateTasksUserSettings&gt;
    &lt;LayoutUserSettings&gt;
      &lt;setting name="Layout" serializeAs="String"&gt;
        &lt;value&gt;FruchtermanReingold&lt;/value&gt;
      &lt;/setting&gt;
      &lt;setting name="FruchtermanReingoldIterations" serializeAs="String"&gt;
        &lt;value&gt;50&lt;/value&gt;
      &lt;/setting&gt;
      &lt;setting name="FruchtermanReingoldC" serializeAs="String"&gt;
        &lt;value&gt;2.8&lt;/value&gt;
      &lt;/setting&gt;
      &lt;setting name="BoxLayoutAlgorithm" serializeAs="String"&gt;
        &lt;value&gt;Treemap&lt;/value&gt;
      &lt;/setting&gt;
      &lt;setting name="MaximumVerticesPerBin" serializeAs="String"&gt;
        &lt;value&gt;10&lt;/value&gt;
      &lt;/setting&gt;
      &lt;setting name="IntergroupEdgeStyle" serializeAs="String"&gt;
        &lt;value&gt;Show&lt;/value&gt;
      &lt;/setting&gt;
      &lt;setting name="BinLength" serializeAs="String"&gt;
        &lt;value&gt;25&lt;/value&gt;
      &lt;/setting&gt;
      &lt;setting name="LayoutStyle" serializeAs="String"&gt;
        &lt;value&gt;UseGroups&lt;/value&gt;
      &lt;/setting&gt;
      &lt;setting name="Margin" serializeAs="String"&gt;
        &lt;value&gt;15&lt;/value&gt;
      &lt;/setting&gt;
      &lt;setting name="ImproveLayoutOfGroups" serializeAs="String"&gt;
        &lt;value&gt;False&lt;/value&gt;
      &lt;/setting&gt;
      &lt;setting name="GroupRectanglePenWidth" serializeAs="String"&gt;
        &lt;value&gt;1&lt;/value&gt;
      &lt;/setting&gt;
    &lt;/LayoutUserSettings&gt;
  &lt;/userSettin</t>
  </si>
  <si>
    <t>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</si>
</sst>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22" fontId="0" fillId="0" borderId="0" xfId="0" applyNumberFormat="1"/>
    <xf numFmtId="0" fontId="0" fillId="0" borderId="0" xfId="0" quotePrefix="1"/>
    <xf numFmtId="0" fontId="10" fillId="0" borderId="0" xfId="28" applyFill="1" applyAlignment="1">
      <alignment/>
    </xf>
    <xf numFmtId="0" fontId="10" fillId="0" borderId="0" xfId="28" applyAlignment="1">
      <alignment/>
    </xf>
    <xf numFmtId="14" fontId="0" fillId="0" borderId="0" xfId="0" applyNumberFormat="1"/>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0" fontId="0" fillId="4" borderId="1" xfId="24" applyNumberFormat="1" applyAlignment="1">
      <alignment wrapText="1"/>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3" borderId="1" xfId="23" applyNumberFormat="1" applyFont="1"/>
    <xf numFmtId="0" fontId="0" fillId="2" borderId="1" xfId="20" applyNumberFormat="1" applyFont="1"/>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0" fontId="0" fillId="2" borderId="1" xfId="20" applyNumberFormat="1" applyFont="1"/>
    <xf numFmtId="0" fontId="0" fillId="0" borderId="0" xfId="0"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0" fontId="0" fillId="0" borderId="0" xfId="0" applyAlignment="1" quotePrefix="1">
      <alignment/>
    </xf>
    <xf numFmtId="167" fontId="0" fillId="0" borderId="0" xfId="0" applyNumberFormat="1" applyAlignment="1" quotePrefix="1">
      <alignment/>
    </xf>
    <xf numFmtId="49" fontId="0" fillId="0" borderId="0" xfId="0" applyNumberFormat="1" applyAlignment="1">
      <alignment/>
    </xf>
    <xf numFmtId="0" fontId="0" fillId="2" borderId="1" xfId="20" applyNumberFormat="1" applyFont="1" applyBorder="1"/>
    <xf numFmtId="49" fontId="0" fillId="0" borderId="0" xfId="0" applyNumberFormat="1" applyFill="1" applyAlignment="1">
      <alignment/>
    </xf>
    <xf numFmtId="0" fontId="0" fillId="0" borderId="0" xfId="0" applyNumberFormat="1"/>
    <xf numFmtId="0" fontId="6" fillId="5" borderId="2" xfId="25" applyNumberFormat="1" applyBorder="1"/>
    <xf numFmtId="0" fontId="0" fillId="0" borderId="0" xfId="0" applyNumberFormat="1" applyAlignment="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 xfId="23" applyNumberFormat="1" applyFont="1" applyBorder="1"/>
    <xf numFmtId="164" fontId="0" fillId="3" borderId="1" xfId="23" applyNumberFormat="1" applyFont="1" applyBorder="1" applyAlignment="1">
      <alignment/>
    </xf>
    <xf numFmtId="49" fontId="6" fillId="5" borderId="1" xfId="25" applyNumberForma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7">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6"/>
      <tableStyleElement type="headerRow" dxfId="535"/>
    </tableStyle>
    <tableStyle name="NodeXL Table" pivot="0" count="1">
      <tableStyleElement type="headerRow" dxfId="5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841283"/>
        <c:axId val="10323988"/>
      </c:barChart>
      <c:catAx>
        <c:axId val="618412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23988"/>
        <c:crosses val="autoZero"/>
        <c:auto val="1"/>
        <c:lblOffset val="100"/>
        <c:noMultiLvlLbl val="0"/>
      </c:catAx>
      <c:valAx>
        <c:axId val="1032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41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salam nol persen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9"/>
                <c:pt idx="0">
                  <c:v>07-Des
Des
2021</c:v>
                </c:pt>
                <c:pt idx="1">
                  <c:v>08-Des</c:v>
                </c:pt>
                <c:pt idx="2">
                  <c:v>09-Des</c:v>
                </c:pt>
                <c:pt idx="3">
                  <c:v>10-Des</c:v>
                </c:pt>
                <c:pt idx="4">
                  <c:v>12-Des</c:v>
                </c:pt>
                <c:pt idx="5">
                  <c:v>13-Des</c:v>
                </c:pt>
                <c:pt idx="6">
                  <c:v>14-Des</c:v>
                </c:pt>
                <c:pt idx="7">
                  <c:v>15-Des</c:v>
                </c:pt>
                <c:pt idx="8">
                  <c:v>17-Des</c:v>
                </c:pt>
                <c:pt idx="9">
                  <c:v>20-Des</c:v>
                </c:pt>
                <c:pt idx="10">
                  <c:v>23-Des</c:v>
                </c:pt>
                <c:pt idx="11">
                  <c:v>25-Des</c:v>
                </c:pt>
                <c:pt idx="12">
                  <c:v>26-Des</c:v>
                </c:pt>
                <c:pt idx="13">
                  <c:v>28-Des</c:v>
                </c:pt>
                <c:pt idx="14">
                  <c:v>29-Des</c:v>
                </c:pt>
                <c:pt idx="15">
                  <c:v>30-Des</c:v>
                </c:pt>
                <c:pt idx="16">
                  <c:v>01-Jan
Jan
2022</c:v>
                </c:pt>
                <c:pt idx="17">
                  <c:v>02-Jan</c:v>
                </c:pt>
                <c:pt idx="18">
                  <c:v>03-Jan</c:v>
                </c:pt>
                <c:pt idx="19">
                  <c:v>04-Jan</c:v>
                </c:pt>
                <c:pt idx="20">
                  <c:v>05-Jan</c:v>
                </c:pt>
                <c:pt idx="21">
                  <c:v>07-Jan</c:v>
                </c:pt>
                <c:pt idx="22">
                  <c:v>08-Jan</c:v>
                </c:pt>
                <c:pt idx="23">
                  <c:v>09-Jan</c:v>
                </c:pt>
                <c:pt idx="24">
                  <c:v>10-Jan</c:v>
                </c:pt>
                <c:pt idx="25">
                  <c:v>11-Jan</c:v>
                </c:pt>
                <c:pt idx="26">
                  <c:v>12-Jan</c:v>
                </c:pt>
                <c:pt idx="27">
                  <c:v>13-Jan</c:v>
                </c:pt>
                <c:pt idx="28">
                  <c:v>14-Jan</c:v>
                </c:pt>
                <c:pt idx="29">
                  <c:v>16-Jan</c:v>
                </c:pt>
                <c:pt idx="30">
                  <c:v>17-Jan</c:v>
                </c:pt>
                <c:pt idx="31">
                  <c:v>18-Jan</c:v>
                </c:pt>
                <c:pt idx="32">
                  <c:v>19-Jan</c:v>
                </c:pt>
                <c:pt idx="33">
                  <c:v>20-Jan</c:v>
                </c:pt>
                <c:pt idx="34">
                  <c:v>25-Jan</c:v>
                </c:pt>
                <c:pt idx="35">
                  <c:v>26-Jan</c:v>
                </c:pt>
                <c:pt idx="36">
                  <c:v>27-Jan</c:v>
                </c:pt>
                <c:pt idx="37">
                  <c:v>28-Jan</c:v>
                </c:pt>
                <c:pt idx="38">
                  <c:v>30-Jan</c:v>
                </c:pt>
                <c:pt idx="39">
                  <c:v>31-Jan</c:v>
                </c:pt>
                <c:pt idx="40">
                  <c:v>01-Feb
Feb</c:v>
                </c:pt>
                <c:pt idx="41">
                  <c:v>03-Feb</c:v>
                </c:pt>
                <c:pt idx="42">
                  <c:v>04-Feb</c:v>
                </c:pt>
                <c:pt idx="43">
                  <c:v>05-Feb</c:v>
                </c:pt>
                <c:pt idx="44">
                  <c:v>06-Feb</c:v>
                </c:pt>
                <c:pt idx="45">
                  <c:v>07-Feb</c:v>
                </c:pt>
                <c:pt idx="46">
                  <c:v>08-Feb</c:v>
                </c:pt>
                <c:pt idx="47">
                  <c:v>11-Feb</c:v>
                </c:pt>
                <c:pt idx="48">
                  <c:v>13-Feb</c:v>
                </c:pt>
                <c:pt idx="49">
                  <c:v>14-Feb</c:v>
                </c:pt>
                <c:pt idx="50">
                  <c:v>17-Feb</c:v>
                </c:pt>
                <c:pt idx="51">
                  <c:v>18-Feb</c:v>
                </c:pt>
                <c:pt idx="52">
                  <c:v>19-Feb</c:v>
                </c:pt>
                <c:pt idx="53">
                  <c:v>20-Feb</c:v>
                </c:pt>
                <c:pt idx="54">
                  <c:v>23-Feb</c:v>
                </c:pt>
                <c:pt idx="55">
                  <c:v>12-Mar
Mar</c:v>
                </c:pt>
                <c:pt idx="56">
                  <c:v>21-Mar</c:v>
                </c:pt>
                <c:pt idx="57">
                  <c:v>25-Mar</c:v>
                </c:pt>
                <c:pt idx="58">
                  <c:v>27-Mar</c:v>
                </c:pt>
                <c:pt idx="59">
                  <c:v>18-Apr
Apr</c:v>
                </c:pt>
                <c:pt idx="60">
                  <c:v>28-Apr</c:v>
                </c:pt>
                <c:pt idx="61">
                  <c:v>17-Mei
Mei</c:v>
                </c:pt>
                <c:pt idx="62">
                  <c:v>23-Mei</c:v>
                </c:pt>
                <c:pt idx="63">
                  <c:v>27-Mei</c:v>
                </c:pt>
                <c:pt idx="64">
                  <c:v>05-Jun
Jun</c:v>
                </c:pt>
                <c:pt idx="65">
                  <c:v>08-Jun</c:v>
                </c:pt>
                <c:pt idx="66">
                  <c:v>17-Jun</c:v>
                </c:pt>
                <c:pt idx="67">
                  <c:v>20-Jun</c:v>
                </c:pt>
                <c:pt idx="68">
                  <c:v>23-Jun</c:v>
                </c:pt>
                <c:pt idx="69">
                  <c:v>02-Jul
Jul</c:v>
                </c:pt>
                <c:pt idx="70">
                  <c:v>13-Jul</c:v>
                </c:pt>
                <c:pt idx="71">
                  <c:v>14-Jul</c:v>
                </c:pt>
                <c:pt idx="72">
                  <c:v>15-Jul</c:v>
                </c:pt>
                <c:pt idx="73">
                  <c:v>22-Jul</c:v>
                </c:pt>
                <c:pt idx="74">
                  <c:v>26-Jul</c:v>
                </c:pt>
                <c:pt idx="75">
                  <c:v>30-Jul</c:v>
                </c:pt>
                <c:pt idx="76">
                  <c:v>03-Agu
Agu</c:v>
                </c:pt>
                <c:pt idx="77">
                  <c:v>04-Agu</c:v>
                </c:pt>
                <c:pt idx="78">
                  <c:v>06-Agu</c:v>
                </c:pt>
                <c:pt idx="79">
                  <c:v>15-Agu</c:v>
                </c:pt>
                <c:pt idx="80">
                  <c:v>20-Agu</c:v>
                </c:pt>
                <c:pt idx="81">
                  <c:v>04-Sep
Sep</c:v>
                </c:pt>
                <c:pt idx="82">
                  <c:v>07-Sep</c:v>
                </c:pt>
                <c:pt idx="83">
                  <c:v>18-Sep</c:v>
                </c:pt>
                <c:pt idx="84">
                  <c:v>28-Sep</c:v>
                </c:pt>
                <c:pt idx="85">
                  <c:v>29-Sep</c:v>
                </c:pt>
                <c:pt idx="86">
                  <c:v>06-Okt
Okt</c:v>
                </c:pt>
                <c:pt idx="87">
                  <c:v>09-Okt</c:v>
                </c:pt>
                <c:pt idx="88">
                  <c:v>16-Okt</c:v>
                </c:pt>
                <c:pt idx="89">
                  <c:v>25-Okt</c:v>
                </c:pt>
                <c:pt idx="90">
                  <c:v>06-Nov
Nov</c:v>
                </c:pt>
                <c:pt idx="91">
                  <c:v>16-Nov</c:v>
                </c:pt>
                <c:pt idx="92">
                  <c:v>17-Nov</c:v>
                </c:pt>
                <c:pt idx="93">
                  <c:v>25-Nov</c:v>
                </c:pt>
                <c:pt idx="94">
                  <c:v>29-Nov</c:v>
                </c:pt>
                <c:pt idx="95">
                  <c:v>08-Des
Des</c:v>
                </c:pt>
                <c:pt idx="96">
                  <c:v>16-Des</c:v>
                </c:pt>
                <c:pt idx="97">
                  <c:v>20-Des</c:v>
                </c:pt>
                <c:pt idx="98">
                  <c:v>23-Des</c:v>
                </c:pt>
                <c:pt idx="99">
                  <c:v>26-Des</c:v>
                </c:pt>
                <c:pt idx="100">
                  <c:v>04-Jan
Jan
2023</c:v>
                </c:pt>
                <c:pt idx="101">
                  <c:v>15-Feb
Feb</c:v>
                </c:pt>
                <c:pt idx="102">
                  <c:v>10-Mar
Mar</c:v>
                </c:pt>
                <c:pt idx="103">
                  <c:v>03-Apr
Apr</c:v>
                </c:pt>
                <c:pt idx="104">
                  <c:v>10-Apr</c:v>
                </c:pt>
                <c:pt idx="105">
                  <c:v>10-Jun
Jun</c:v>
                </c:pt>
                <c:pt idx="106">
                  <c:v>09-Agu
Agu</c:v>
                </c:pt>
                <c:pt idx="107">
                  <c:v>21-Agu</c:v>
                </c:pt>
                <c:pt idx="108">
                  <c:v>18-Sep
Sep</c:v>
                </c:pt>
              </c:strCache>
            </c:strRef>
          </c:cat>
          <c:val>
            <c:numRef>
              <c:f>'Time Series'!$B$26:$B$158</c:f>
              <c:numCache>
                <c:formatCode>General</c:formatCode>
                <c:ptCount val="109"/>
                <c:pt idx="0">
                  <c:v>3</c:v>
                </c:pt>
                <c:pt idx="1">
                  <c:v>1</c:v>
                </c:pt>
                <c:pt idx="2">
                  <c:v>1</c:v>
                </c:pt>
                <c:pt idx="3">
                  <c:v>1</c:v>
                </c:pt>
                <c:pt idx="4">
                  <c:v>2</c:v>
                </c:pt>
                <c:pt idx="5">
                  <c:v>2</c:v>
                </c:pt>
                <c:pt idx="6">
                  <c:v>2</c:v>
                </c:pt>
                <c:pt idx="7">
                  <c:v>3</c:v>
                </c:pt>
                <c:pt idx="8">
                  <c:v>2</c:v>
                </c:pt>
                <c:pt idx="9">
                  <c:v>2</c:v>
                </c:pt>
                <c:pt idx="10">
                  <c:v>2</c:v>
                </c:pt>
                <c:pt idx="11">
                  <c:v>1</c:v>
                </c:pt>
                <c:pt idx="12">
                  <c:v>2</c:v>
                </c:pt>
                <c:pt idx="13">
                  <c:v>6</c:v>
                </c:pt>
                <c:pt idx="14">
                  <c:v>1</c:v>
                </c:pt>
                <c:pt idx="15">
                  <c:v>1</c:v>
                </c:pt>
                <c:pt idx="16">
                  <c:v>1</c:v>
                </c:pt>
                <c:pt idx="17">
                  <c:v>1</c:v>
                </c:pt>
                <c:pt idx="18">
                  <c:v>2</c:v>
                </c:pt>
                <c:pt idx="19">
                  <c:v>1</c:v>
                </c:pt>
                <c:pt idx="20">
                  <c:v>3</c:v>
                </c:pt>
                <c:pt idx="21">
                  <c:v>2</c:v>
                </c:pt>
                <c:pt idx="22">
                  <c:v>1</c:v>
                </c:pt>
                <c:pt idx="23">
                  <c:v>1</c:v>
                </c:pt>
                <c:pt idx="24">
                  <c:v>8</c:v>
                </c:pt>
                <c:pt idx="25">
                  <c:v>7</c:v>
                </c:pt>
                <c:pt idx="26">
                  <c:v>6</c:v>
                </c:pt>
                <c:pt idx="27">
                  <c:v>10</c:v>
                </c:pt>
                <c:pt idx="28">
                  <c:v>1</c:v>
                </c:pt>
                <c:pt idx="29">
                  <c:v>3</c:v>
                </c:pt>
                <c:pt idx="30">
                  <c:v>5</c:v>
                </c:pt>
                <c:pt idx="31">
                  <c:v>5</c:v>
                </c:pt>
                <c:pt idx="32">
                  <c:v>6</c:v>
                </c:pt>
                <c:pt idx="33">
                  <c:v>1</c:v>
                </c:pt>
                <c:pt idx="34">
                  <c:v>2</c:v>
                </c:pt>
                <c:pt idx="35">
                  <c:v>3</c:v>
                </c:pt>
                <c:pt idx="36">
                  <c:v>1</c:v>
                </c:pt>
                <c:pt idx="37">
                  <c:v>1</c:v>
                </c:pt>
                <c:pt idx="38">
                  <c:v>1</c:v>
                </c:pt>
                <c:pt idx="39">
                  <c:v>1</c:v>
                </c:pt>
                <c:pt idx="40">
                  <c:v>1</c:v>
                </c:pt>
                <c:pt idx="41">
                  <c:v>3</c:v>
                </c:pt>
                <c:pt idx="42">
                  <c:v>1</c:v>
                </c:pt>
                <c:pt idx="43">
                  <c:v>1</c:v>
                </c:pt>
                <c:pt idx="44">
                  <c:v>1</c:v>
                </c:pt>
                <c:pt idx="45">
                  <c:v>2</c:v>
                </c:pt>
                <c:pt idx="46">
                  <c:v>1</c:v>
                </c:pt>
                <c:pt idx="47">
                  <c:v>3</c:v>
                </c:pt>
                <c:pt idx="48">
                  <c:v>2</c:v>
                </c:pt>
                <c:pt idx="49">
                  <c:v>4</c:v>
                </c:pt>
                <c:pt idx="50">
                  <c:v>2</c:v>
                </c:pt>
                <c:pt idx="51">
                  <c:v>1</c:v>
                </c:pt>
                <c:pt idx="52">
                  <c:v>1</c:v>
                </c:pt>
                <c:pt idx="53">
                  <c:v>2</c:v>
                </c:pt>
                <c:pt idx="54">
                  <c:v>2</c:v>
                </c:pt>
                <c:pt idx="55">
                  <c:v>1</c:v>
                </c:pt>
                <c:pt idx="56">
                  <c:v>1</c:v>
                </c:pt>
                <c:pt idx="57">
                  <c:v>2</c:v>
                </c:pt>
                <c:pt idx="58">
                  <c:v>1</c:v>
                </c:pt>
                <c:pt idx="59">
                  <c:v>2</c:v>
                </c:pt>
                <c:pt idx="60">
                  <c:v>1</c:v>
                </c:pt>
                <c:pt idx="61">
                  <c:v>1</c:v>
                </c:pt>
                <c:pt idx="62">
                  <c:v>1</c:v>
                </c:pt>
                <c:pt idx="63">
                  <c:v>1</c:v>
                </c:pt>
                <c:pt idx="64">
                  <c:v>1</c:v>
                </c:pt>
                <c:pt idx="65">
                  <c:v>1</c:v>
                </c:pt>
                <c:pt idx="66">
                  <c:v>1</c:v>
                </c:pt>
                <c:pt idx="67">
                  <c:v>2</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1</c:v>
                </c:pt>
                <c:pt idx="83">
                  <c:v>1</c:v>
                </c:pt>
                <c:pt idx="84">
                  <c:v>1</c:v>
                </c:pt>
                <c:pt idx="85">
                  <c:v>3</c:v>
                </c:pt>
                <c:pt idx="86">
                  <c:v>1</c:v>
                </c:pt>
                <c:pt idx="87">
                  <c:v>1</c:v>
                </c:pt>
                <c:pt idx="88">
                  <c:v>1</c:v>
                </c:pt>
                <c:pt idx="89">
                  <c:v>1</c:v>
                </c:pt>
                <c:pt idx="90">
                  <c:v>1</c:v>
                </c:pt>
                <c:pt idx="91">
                  <c:v>2</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numCache>
            </c:numRef>
          </c:val>
        </c:ser>
        <c:axId val="53029221"/>
        <c:axId val="48294998"/>
      </c:barChart>
      <c:catAx>
        <c:axId val="53029221"/>
        <c:scaling>
          <c:orientation val="minMax"/>
        </c:scaling>
        <c:axPos val="b"/>
        <c:delete val="0"/>
        <c:numFmt formatCode="General" sourceLinked="1"/>
        <c:majorTickMark val="out"/>
        <c:minorTickMark val="none"/>
        <c:tickLblPos val="nextTo"/>
        <c:crossAx val="48294998"/>
        <c:crosses val="autoZero"/>
        <c:auto val="1"/>
        <c:lblOffset val="100"/>
        <c:noMultiLvlLbl val="0"/>
      </c:catAx>
      <c:valAx>
        <c:axId val="48294998"/>
        <c:scaling>
          <c:orientation val="minMax"/>
        </c:scaling>
        <c:axPos val="l"/>
        <c:majorGridlines/>
        <c:delete val="0"/>
        <c:numFmt formatCode="General" sourceLinked="1"/>
        <c:majorTickMark val="out"/>
        <c:minorTickMark val="none"/>
        <c:tickLblPos val="nextTo"/>
        <c:crossAx val="530292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113365"/>
        <c:axId val="24724422"/>
      </c:barChart>
      <c:catAx>
        <c:axId val="361133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724422"/>
        <c:crosses val="autoZero"/>
        <c:auto val="1"/>
        <c:lblOffset val="100"/>
        <c:noMultiLvlLbl val="0"/>
      </c:catAx>
      <c:valAx>
        <c:axId val="24724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13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37127"/>
        <c:axId val="39101496"/>
      </c:barChart>
      <c:catAx>
        <c:axId val="35371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101496"/>
        <c:crosses val="autoZero"/>
        <c:auto val="1"/>
        <c:lblOffset val="100"/>
        <c:noMultiLvlLbl val="0"/>
      </c:catAx>
      <c:valAx>
        <c:axId val="39101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7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925113"/>
        <c:axId val="64500074"/>
      </c:barChart>
      <c:catAx>
        <c:axId val="369251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500074"/>
        <c:crosses val="autoZero"/>
        <c:auto val="1"/>
        <c:lblOffset val="100"/>
        <c:noMultiLvlLbl val="0"/>
      </c:catAx>
      <c:valAx>
        <c:axId val="64500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25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87019"/>
        <c:axId val="44528476"/>
      </c:barChart>
      <c:catAx>
        <c:axId val="63870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528476"/>
        <c:crosses val="autoZero"/>
        <c:auto val="1"/>
        <c:lblOffset val="100"/>
        <c:noMultiLvlLbl val="0"/>
      </c:catAx>
      <c:valAx>
        <c:axId val="44528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7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411677"/>
        <c:axId val="8450574"/>
      </c:barChart>
      <c:catAx>
        <c:axId val="344116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50574"/>
        <c:crosses val="autoZero"/>
        <c:auto val="1"/>
        <c:lblOffset val="100"/>
        <c:noMultiLvlLbl val="0"/>
      </c:catAx>
      <c:valAx>
        <c:axId val="845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11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424943"/>
        <c:axId val="22951296"/>
      </c:barChart>
      <c:catAx>
        <c:axId val="114249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951296"/>
        <c:crosses val="autoZero"/>
        <c:auto val="1"/>
        <c:lblOffset val="100"/>
        <c:noMultiLvlLbl val="0"/>
      </c:catAx>
      <c:valAx>
        <c:axId val="22951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24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871681"/>
        <c:axId val="9684402"/>
      </c:barChart>
      <c:catAx>
        <c:axId val="508716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84402"/>
        <c:crosses val="autoZero"/>
        <c:auto val="1"/>
        <c:lblOffset val="100"/>
        <c:noMultiLvlLbl val="0"/>
      </c:catAx>
      <c:valAx>
        <c:axId val="9684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71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73651"/>
        <c:axId val="32582308"/>
      </c:barChart>
      <c:catAx>
        <c:axId val="4773651"/>
        <c:scaling>
          <c:orientation val="minMax"/>
        </c:scaling>
        <c:axPos val="b"/>
        <c:delete val="1"/>
        <c:majorTickMark val="out"/>
        <c:minorTickMark val="none"/>
        <c:tickLblPos val="none"/>
        <c:crossAx val="32582308"/>
        <c:crosses val="autoZero"/>
        <c:auto val="1"/>
        <c:lblOffset val="100"/>
        <c:noMultiLvlLbl val="0"/>
      </c:catAx>
      <c:valAx>
        <c:axId val="32582308"/>
        <c:scaling>
          <c:orientation val="minMax"/>
        </c:scaling>
        <c:axPos val="l"/>
        <c:delete val="1"/>
        <c:majorTickMark val="out"/>
        <c:minorTickMark val="none"/>
        <c:tickLblPos val="none"/>
        <c:crossAx val="47736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SI" refreshedVersion="7">
  <cacheSource type="worksheet">
    <worksheetSource ref="A2:BU197" sheet="Time Series Edges"/>
  </cacheSource>
  <cacheFields count="7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95">
        <d v="2022-03-25T23:07:34.000"/>
        <d v="2022-07-15T23:48:11.000"/>
        <d v="2022-04-18T02:00:00.000"/>
        <d v="2023-08-21T11:52:13.000"/>
        <d v="2022-07-14T04:10:18.000"/>
        <d v="2022-01-10T22:32:40.000"/>
        <d v="2022-01-10T22:28:10.000"/>
        <d v="2022-01-10T22:18:14.000"/>
        <d v="2022-01-11T00:46:48.000"/>
        <d v="2022-01-10T22:15:59.000"/>
        <d v="2022-01-12T23:14:52.000"/>
        <d v="2021-12-08T00:02:37.000"/>
        <d v="2022-04-18T11:42:40.000"/>
        <d v="2022-01-18T01:42:04.000"/>
        <d v="2022-12-08T04:31:26.000"/>
        <d v="2022-11-06T11:41:12.000"/>
        <d v="2022-12-20T19:31:25.000"/>
        <d v="2022-12-23T19:47:34.000"/>
        <d v="2022-12-26T20:57:16.000"/>
        <d v="2022-08-06T17:30:28.000"/>
        <d v="2022-11-29T00:41:33.000"/>
        <d v="2022-01-16T01:50:39.000"/>
        <d v="2021-12-28T15:01:49.000"/>
        <d v="2021-12-28T14:59:43.000"/>
        <d v="2022-01-11T12:11:44.000"/>
        <d v="2022-06-17T14:08:33.000"/>
        <d v="2022-06-08T04:06:14.000"/>
        <d v="2022-09-04T11:38:16.000"/>
        <d v="2022-08-04T02:32:40.000"/>
        <d v="2022-08-03T12:59:36.000"/>
        <d v="2022-01-03T06:06:57.000"/>
        <d v="2023-04-03T14:53:27.000"/>
        <d v="2022-01-07T00:32:21.000"/>
        <d v="2022-03-21T16:21:38.000"/>
        <d v="2021-12-17T22:16:46.000"/>
        <d v="2021-12-20T02:56:28.000"/>
        <d v="2022-03-25T00:32:45.000"/>
        <d v="2021-12-25T03:02:48.000"/>
        <d v="2022-02-05T23:38:55.000"/>
        <d v="2021-12-28T00:42:49.000"/>
        <d v="2021-12-26T05:22:22.000"/>
        <d v="2022-01-12T06:06:49.000"/>
        <d v="2022-01-18T13:16:07.000"/>
        <d v="2022-01-11T07:40:55.000"/>
        <d v="2022-08-15T13:40:23.000"/>
        <d v="2022-01-17T23:06:14.000"/>
        <d v="2022-01-26T11:11:27.000"/>
        <d v="2022-09-29T21:42:28.000"/>
        <d v="2022-09-29T21:34:53.000"/>
        <d v="2022-09-29T22:00:45.000"/>
        <d v="2022-01-10T13:06:24.000"/>
        <d v="2022-01-10T10:48:46.000"/>
        <d v="2022-01-13T01:18:40.000"/>
        <d v="2022-01-05T06:08:38.000"/>
        <d v="2022-01-07T02:05:16.000"/>
        <d v="2022-03-27T08:05:32.000"/>
        <d v="2022-01-18T07:13:27.000"/>
        <d v="2022-05-17T02:23:19.000"/>
        <d v="2022-01-13T15:43:21.000"/>
        <d v="2022-07-22T09:20:25.000"/>
        <d v="2022-01-20T22:02:59.000"/>
        <d v="2021-12-13T07:39:28.000"/>
        <d v="2022-01-05T07:47:41.000"/>
        <d v="2022-01-10T19:59:53.000"/>
        <d v="2022-01-05T00:10:17.000"/>
        <d v="2021-12-07T16:24:15.000"/>
        <d v="2021-12-14T12:17:48.000"/>
        <d v="2022-01-04T23:31:58.000"/>
        <d v="2021-12-29T00:44:34.000"/>
        <d v="2023-09-18T22:50:05.000"/>
        <d v="2022-01-12T10:34:50.000"/>
        <d v="2022-01-12T10:39:58.000"/>
        <d v="2021-12-10T11:52:06.000"/>
        <d v="2022-01-11T04:20:42.000"/>
        <d v="2022-01-18T06:01:21.000"/>
        <d v="2022-10-25T15:49:16.000"/>
        <d v="2023-08-09T17:19:33.000"/>
        <d v="2021-12-20T02:33:05.000"/>
        <d v="2022-09-28T11:57:10.000"/>
        <d v="2021-12-09T19:26:11.000"/>
        <d v="2022-01-13T07:01:40.000"/>
        <d v="2022-01-31T17:00:26.000"/>
        <d v="2022-06-23T14:29:05.000"/>
        <d v="2022-01-17T05:00:46.000"/>
        <d v="2022-01-17T23:48:53.000"/>
        <d v="2022-01-13T23:33:20.000"/>
        <d v="2022-07-22T16:36:37.000"/>
        <d v="2023-04-10T18:23:54.000"/>
        <d v="2022-01-17T03:30:53.000"/>
        <d v="2022-01-16T06:44:25.000"/>
        <d v="2022-05-23T04:16:09.000"/>
        <d v="2022-01-16T06:45:09.000"/>
        <d v="2021-12-07T17:49:12.000"/>
        <d v="2022-07-30T15:45:45.000"/>
        <d v="2022-07-02T13:31:20.000"/>
        <d v="2022-08-20T22:43:52.000"/>
        <d v="2022-07-26T11:27:23.000"/>
        <d v="2021-12-23T07:00:29.000"/>
        <d v="2022-01-11T12:36:50.000"/>
        <d v="2022-10-16T13:40:29.000"/>
        <d v="2022-01-17T08:26:04.000"/>
        <d v="2022-01-08T12:31:56.000"/>
        <d v="2022-01-26T09:11:22.000"/>
        <d v="2022-11-25T16:03:21.000"/>
        <d v="2022-07-02T04:57:01.000"/>
        <d v="2021-12-13T21:00:47.000"/>
        <d v="2021-12-28T15:10:41.000"/>
        <d v="2021-12-15T15:13:58.000"/>
        <d v="2021-12-15T14:57:23.000"/>
        <d v="2022-02-06T04:08:58.000"/>
        <d v="2021-12-12T01:50:11.000"/>
        <d v="2022-01-30T04:41:33.000"/>
        <d v="2021-12-26T03:20:28.000"/>
        <d v="2022-01-03T09:02:17.000"/>
        <d v="2022-02-20T14:25:25.000"/>
        <d v="2022-01-09T00:37:37.000"/>
        <d v="2021-12-15T15:27:36.000"/>
        <d v="2022-01-10T12:50:13.000"/>
        <d v="2021-12-07T12:07:19.000"/>
        <d v="2022-11-17T08:31:21.000"/>
        <d v="2023-09-18T05:05:19.000"/>
        <d v="2022-07-13T11:31:07.000"/>
        <d v="2022-12-16T11:12:15.000"/>
        <d v="2023-02-15T05:58:14.000"/>
        <d v="2022-06-20T13:04:59.000"/>
        <d v="2022-06-20T05:54:58.000"/>
        <d v="2021-12-30T03:00:52.000"/>
        <d v="2022-02-07T11:13:09.000"/>
        <d v="2022-09-18T13:00:23.000"/>
        <d v="2022-09-07T16:06:53.000"/>
        <d v="2022-10-09T17:04:46.000"/>
        <d v="2022-10-06T10:20:47.000"/>
        <d v="2022-05-27T02:12:29.000"/>
        <d v="2022-01-12T02:44:51.000"/>
        <d v="2021-12-23T08:59:31.000"/>
        <d v="2022-01-14T01:37:57.000"/>
        <d v="2022-01-13T08:58:56.000"/>
        <d v="2022-01-11T12:26:08.000"/>
        <d v="2023-03-10T08:32:32.000"/>
        <d v="2022-01-12T02:24:18.000"/>
        <d v="2022-11-16T11:15:05.000"/>
        <d v="2022-11-16T16:17:11.000"/>
        <d v="2022-01-01T15:27:59.000"/>
        <d v="2023-06-10T23:12:51.000"/>
        <d v="2022-01-11T04:01:52.000"/>
        <d v="2021-12-17T04:03:49.000"/>
        <d v="2022-06-05T10:42:51.000"/>
        <d v="2021-12-12T14:04:57.000"/>
        <d v="2022-01-13T23:12:03.000"/>
        <d v="2022-02-23T18:20:12.000"/>
        <d v="2021-12-28T00:38:03.000"/>
        <d v="2022-03-12T22:08:53.000"/>
        <d v="2021-12-14T14:42:04.000"/>
        <d v="2022-01-19T04:43:06.000"/>
        <d v="2022-01-02T18:47:09.000"/>
        <d v="2022-01-13T10:11:01.000"/>
        <d v="2022-02-23T15:34:48.000"/>
        <d v="2022-01-25T02:16:59.000"/>
        <d v="2022-01-25T02:09:28.000"/>
        <d v="2023-01-04T08:18:21.000"/>
        <d v="2022-02-03T12:07:39.000"/>
        <d v="2022-02-03T21:29:32.000"/>
        <d v="2022-04-28T16:46:55.000"/>
        <d v="2022-01-13T23:27:55.000"/>
        <d v="2022-02-01T13:55:00.000"/>
        <d v="2022-02-03T06:45:40.000"/>
        <d v="2022-02-13T13:36:57.000"/>
        <d v="2022-02-14T13:37:39.000"/>
        <d v="2022-02-11T03:55:03.000"/>
        <d v="2022-02-11T06:36:30.000"/>
        <d v="2022-01-18T09:42:25.000"/>
        <d v="2022-01-19T00:54:31.000"/>
        <d v="2022-02-17T16:07:48.000"/>
        <d v="2022-01-19T00:59:41.000"/>
        <d v="2022-01-19T00:56:22.000"/>
        <d v="2022-01-19T02:12:47.000"/>
        <d v="2022-01-19T11:55:57.000"/>
        <d v="2022-02-13T15:44:25.000"/>
        <d v="2022-02-14T15:50:26.000"/>
        <d v="2022-02-14T09:36:48.000"/>
        <d v="2022-02-14T16:02:30.000"/>
        <d v="2022-01-27T03:38:13.000"/>
        <d v="2022-02-11T02:54:54.000"/>
        <d v="2022-01-26T21:57:17.000"/>
        <d v="2022-01-28T01:52:03.000"/>
        <d v="2022-02-19T09:26:38.000"/>
        <d v="2022-02-20T09:43:11.000"/>
        <d v="2022-02-04T09:20:44.000"/>
        <d v="2022-02-18T15:09:49.000"/>
        <d v="2022-01-13T06:21:37.000"/>
        <d v="2022-01-13T15:42:10.000"/>
        <d v="2021-12-28T06:24:35.000"/>
        <d v="2022-02-17T16:20:06.000"/>
        <d v="2022-02-07T05:52:07.000"/>
        <d v="2022-02-08T06:35:26.000"/>
      </sharedItems>
      <fieldGroup par="74" base="15">
        <rangePr groupBy="days" autoEnd="1" autoStart="1" startDate="2021-12-07T12:07:19.000" endDate="2023-09-18T22:50:05.000"/>
        <groupItems count="368">
          <s v="&lt;07/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ei"/>
          <s v="02-Mei"/>
          <s v="03-Mei"/>
          <s v="04-Mei"/>
          <s v="05-Mei"/>
          <s v="06-Mei"/>
          <s v="07-Mei"/>
          <s v="08-Mei"/>
          <s v="09-Mei"/>
          <s v="10-Mei"/>
          <s v="11-Mei"/>
          <s v="12-Mei"/>
          <s v="13-Mei"/>
          <s v="14-Mei"/>
          <s v="15-Mei"/>
          <s v="16-Mei"/>
          <s v="17-Mei"/>
          <s v="18-Mei"/>
          <s v="19-Mei"/>
          <s v="20-Mei"/>
          <s v="21-Mei"/>
          <s v="22-Mei"/>
          <s v="23-Mei"/>
          <s v="24-Mei"/>
          <s v="25-Mei"/>
          <s v="26-Mei"/>
          <s v="27-Mei"/>
          <s v="28-Mei"/>
          <s v="29-Mei"/>
          <s v="30-Mei"/>
          <s v="31-Me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u"/>
          <s v="02-Agu"/>
          <s v="03-Agu"/>
          <s v="04-Agu"/>
          <s v="05-Agu"/>
          <s v="06-Agu"/>
          <s v="07-Agu"/>
          <s v="08-Agu"/>
          <s v="09-Agu"/>
          <s v="10-Agu"/>
          <s v="11-Agu"/>
          <s v="12-Agu"/>
          <s v="13-Agu"/>
          <s v="14-Agu"/>
          <s v="15-Agu"/>
          <s v="16-Agu"/>
          <s v="17-Agu"/>
          <s v="18-Agu"/>
          <s v="19-Agu"/>
          <s v="20-Agu"/>
          <s v="21-Agu"/>
          <s v="22-Agu"/>
          <s v="23-Agu"/>
          <s v="24-Agu"/>
          <s v="25-Agu"/>
          <s v="26-Agu"/>
          <s v="27-Agu"/>
          <s v="28-Agu"/>
          <s v="29-Agu"/>
          <s v="30-Agu"/>
          <s v="31-Agu"/>
          <s v="01-Sep"/>
          <s v="02-Sep"/>
          <s v="03-Sep"/>
          <s v="04-Sep"/>
          <s v="05-Sep"/>
          <s v="06-Sep"/>
          <s v="07-Sep"/>
          <s v="08-Sep"/>
          <s v="09-Sep"/>
          <s v="10-Sep"/>
          <s v="11-Sep"/>
          <s v="12-Sep"/>
          <s v="13-Sep"/>
          <s v="14-Sep"/>
          <s v="15-Sep"/>
          <s v="16-Sep"/>
          <s v="17-Sep"/>
          <s v="18-Sep"/>
          <s v="19-Sep"/>
          <s v="20-Sep"/>
          <s v="21-Sep"/>
          <s v="22-Sep"/>
          <s v="23-Sep"/>
          <s v="24-Sep"/>
          <s v="25-Sep"/>
          <s v="26-Sep"/>
          <s v="27-Sep"/>
          <s v="28-Sep"/>
          <s v="29-Sep"/>
          <s v="30-Sep"/>
          <s v="01-Okt"/>
          <s v="02-Okt"/>
          <s v="03-Okt"/>
          <s v="04-Okt"/>
          <s v="05-Okt"/>
          <s v="06-Okt"/>
          <s v="07-Okt"/>
          <s v="08-Okt"/>
          <s v="09-Okt"/>
          <s v="10-Okt"/>
          <s v="11-Okt"/>
          <s v="12-Okt"/>
          <s v="13-Okt"/>
          <s v="14-Okt"/>
          <s v="15-Okt"/>
          <s v="16-Okt"/>
          <s v="17-Okt"/>
          <s v="18-Okt"/>
          <s v="19-Okt"/>
          <s v="20-Okt"/>
          <s v="21-Okt"/>
          <s v="22-Okt"/>
          <s v="23-Okt"/>
          <s v="24-Okt"/>
          <s v="25-Okt"/>
          <s v="26-Okt"/>
          <s v="27-Okt"/>
          <s v="28-Okt"/>
          <s v="29-Okt"/>
          <s v="30-Okt"/>
          <s v="31-Okt"/>
          <s v="01-Nov"/>
          <s v="02-Nov"/>
          <s v="03-Nov"/>
          <s v="04-Nov"/>
          <s v="05-Nov"/>
          <s v="06-Nov"/>
          <s v="07-Nov"/>
          <s v="08-Nov"/>
          <s v="09-Nov"/>
          <s v="10-Nov"/>
          <s v="11-Nov"/>
          <s v="12-Nov"/>
          <s v="13-Nov"/>
          <s v="14-Nov"/>
          <s v="15-Nov"/>
          <s v="16-Nov"/>
          <s v="17-Nov"/>
          <s v="18-Nov"/>
          <s v="19-Nov"/>
          <s v="20-Nov"/>
          <s v="21-Nov"/>
          <s v="22-Nov"/>
          <s v="23-Nov"/>
          <s v="24-Nov"/>
          <s v="25-Nov"/>
          <s v="26-Nov"/>
          <s v="27-Nov"/>
          <s v="28-Nov"/>
          <s v="29-Nov"/>
          <s v="30-Nov"/>
          <s v="01-Des"/>
          <s v="02-Des"/>
          <s v="03-Des"/>
          <s v="04-Des"/>
          <s v="05-Des"/>
          <s v="06-Des"/>
          <s v="07-Des"/>
          <s v="08-Des"/>
          <s v="09-Des"/>
          <s v="10-Des"/>
          <s v="11-Des"/>
          <s v="12-Des"/>
          <s v="13-Des"/>
          <s v="14-Des"/>
          <s v="15-Des"/>
          <s v="16-Des"/>
          <s v="17-Des"/>
          <s v="18-Des"/>
          <s v="19-Des"/>
          <s v="20-Des"/>
          <s v="21-Des"/>
          <s v="22-Des"/>
          <s v="23-Des"/>
          <s v="24-Des"/>
          <s v="25-Des"/>
          <s v="26-Des"/>
          <s v="27-Des"/>
          <s v="28-Des"/>
          <s v="29-Des"/>
          <s v="30-Des"/>
          <s v="31-Des"/>
          <s v="&gt;18/09/2023"/>
        </groupItems>
      </fieldGroup>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longText="1"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Months" databaseField="0">
      <sharedItems containsMixedTypes="0" count="0"/>
      <fieldGroup base="15">
        <rangePr groupBy="months" autoEnd="1" autoStart="1" startDate="2021-12-07T12:07:19.000" endDate="2023-09-18T22:50:05.000"/>
        <groupItems count="14">
          <s v="&lt;07/12/2021"/>
          <s v="Jan"/>
          <s v="Feb"/>
          <s v="Mar"/>
          <s v="Apr"/>
          <s v="Mei"/>
          <s v="Jun"/>
          <s v="Jul"/>
          <s v="Agu"/>
          <s v="Sep"/>
          <s v="Okt"/>
          <s v="Nov"/>
          <s v="Des"/>
          <s v="&gt;18/09/2023"/>
        </groupItems>
      </fieldGroup>
    </cacheField>
    <cacheField name="Years" databaseField="0">
      <sharedItems containsMixedTypes="0" count="0"/>
      <fieldGroup base="15">
        <rangePr groupBy="years" autoEnd="1" autoStart="1" startDate="2021-12-07T12:07:19.000" endDate="2023-09-18T22:50:05.000"/>
        <groupItems count="5">
          <s v="&lt;07/12/2021"/>
          <s v="2021"/>
          <s v="2022"/>
          <s v="2023"/>
          <s v="&gt;18/09/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95">
  <r>
    <s v="ayuannara"/>
    <s v="bumnbersatu"/>
    <m/>
    <m/>
    <m/>
    <m/>
    <m/>
    <m/>
    <m/>
    <m/>
    <s v="No"/>
    <n v="3"/>
    <b v="0"/>
    <m/>
    <s v="Replies to"/>
    <x v="0"/>
    <s v="@bumnbersatu Halu boleh.... _x000a_Bohong jangan... _x000a_Karena udah biasa bohong ya susah.... _x000a_Salam DP nol persen"/>
    <n v="0"/>
    <n v="1"/>
    <n v="0"/>
    <n v="0"/>
    <m/>
    <m/>
    <m/>
    <m/>
    <s v="bumnbersatu"/>
    <m/>
    <m/>
    <s v="Twitter for Android"/>
    <s v="in"/>
    <s v="https://twitter.com/ayuannara/status/1507494430953345024"/>
    <d v="2022-03-25T23:07:34.000"/>
    <d v="2022-03-25T00:00:00.000"/>
    <s v="23:07:34"/>
    <m/>
    <m/>
    <m/>
    <m/>
    <m/>
    <m/>
    <m/>
    <m/>
    <m/>
    <m/>
    <m/>
    <m/>
    <m/>
    <s v="https://pbs.twimg.com/profile_images/1452431569142960128/l0UgZAaH_normal.jpg"/>
    <s v="1507494430953345024"/>
    <s v="1507382812344991750"/>
    <s v="191951600"/>
    <s v="1507382812344991750"/>
    <s v=""/>
    <s v=""/>
    <s v="1507382812344991750"/>
    <s v="1450766740036603910"/>
    <m/>
    <m/>
    <m/>
    <m/>
    <m/>
    <n v="5"/>
    <n v="33.333333333333336"/>
    <n v="4"/>
    <n v="26.666666666666668"/>
    <n v="0"/>
    <n v="0"/>
    <n v="6"/>
    <n v="40"/>
    <n v="15"/>
    <n v="1"/>
    <s v="37"/>
    <s v="37"/>
  </r>
  <r>
    <s v="rizkir4madani"/>
    <s v="rizkir4madani"/>
    <m/>
    <m/>
    <m/>
    <m/>
    <m/>
    <m/>
    <m/>
    <m/>
    <s v="No"/>
    <n v="4"/>
    <b v="0"/>
    <m/>
    <s v="Tweet"/>
    <x v="1"/>
    <s v="Assalamu'alaikum Wr Wb. Ini Hasil Survei Charta Politika: Ganjar Unggul Telak 71,5 Persen di Jawa Tengah, Puan Nol Koma. Salam Kopi ☕ Pagi♥️🇲🇨 Sobat Tweps Yg Cihuyy ☕🚬 Slalu.. Tetap Semangat Dlm Aktivitas Dan Bahagia Di Pagi Hari Yg Ceria Ini.. ✊🇲🇨_x000a_ https://t.co/86I0oDKTBu"/>
    <n v="2"/>
    <n v="4"/>
    <n v="0"/>
    <n v="0"/>
    <m/>
    <m/>
    <s v="https://nasional.tempo.co/read/1612284/survei-charta-politika-ganjar-unggul-telak-715-persen-di-jawa-tengah-puan-nol-koma#.YtH7LVDzC6U.twitter"/>
    <s v="tempo.co"/>
    <m/>
    <m/>
    <m/>
    <s v="Twitter Web App"/>
    <s v="in"/>
    <s v="https://twitter.com/rizkir4madani/status/1548092091539984384"/>
    <d v="2022-07-15T23:48:11.000"/>
    <d v="2022-07-15T00:00:00.000"/>
    <s v="23:48:11"/>
    <b v="0"/>
    <m/>
    <m/>
    <m/>
    <m/>
    <m/>
    <m/>
    <m/>
    <m/>
    <m/>
    <m/>
    <m/>
    <m/>
    <s v="https://pbs.twimg.com/profile_images/1729394654255407104/CZNncald_normal.jpg"/>
    <s v="1548092091539984384"/>
    <s v="1548092091539984384"/>
    <m/>
    <s v=""/>
    <s v=""/>
    <s v=""/>
    <s v="1548092091539984384"/>
    <s v="1140084771453714432"/>
    <m/>
    <m/>
    <m/>
    <m/>
    <m/>
    <n v="5"/>
    <n v="12.5"/>
    <n v="1"/>
    <n v="2.5"/>
    <n v="0"/>
    <n v="0"/>
    <n v="34"/>
    <n v="85"/>
    <n v="40"/>
    <n v="1"/>
    <s v="4"/>
    <s v="4"/>
  </r>
  <r>
    <s v="sahabat_bangsa"/>
    <s v="lanyallamm1"/>
    <m/>
    <m/>
    <m/>
    <m/>
    <m/>
    <m/>
    <m/>
    <m/>
    <s v="No"/>
    <n v="5"/>
    <b v="1"/>
    <m/>
    <s v="Mentions"/>
    <x v="2"/>
    <s v="Salam NOL PERSEN... Dr. Rizal Ramli dan Ketua DPD, satu suara untuk memperjuangkan penghapusan THRESHOLD dlm pemilihan pemimpin di berbagai level (daerah hingga nasional) agar demokrasi bekerja dgn amanah &amp;amp; bersih dari kekuatan oligarki (bandar/ cukong)_x000a__x000a_@RamliRizal @LaNyallaMM1 https://t.co/tSXSKjRl61"/>
    <n v="32"/>
    <n v="151"/>
    <n v="4"/>
    <n v="2"/>
    <m/>
    <m/>
    <m/>
    <m/>
    <s v="ramlirizal lanyallamm1"/>
    <s v="https://t.co/tSXSKjRl61 https://pbs.twimg.com/media/FQl2OjBaIAA8wiF.jpg"/>
    <s v="photo"/>
    <s v="Twitter for Android"/>
    <s v="in"/>
    <s v="https://twitter.com/sahabat_bangsa/status/1515872745988702208"/>
    <d v="2022-04-18T02:00:00.000"/>
    <d v="2022-04-18T00:00:00.000"/>
    <s v="02:00:00"/>
    <b v="0"/>
    <m/>
    <m/>
    <m/>
    <m/>
    <m/>
    <m/>
    <m/>
    <s v="3_1515872741878276096"/>
    <m/>
    <m/>
    <m/>
    <m/>
    <s v="https://pbs.twimg.com/media/FQl2OjBaIAA8wiF.jpg"/>
    <s v="1515872745988702208"/>
    <s v="1515872745988702208"/>
    <m/>
    <s v=""/>
    <s v=""/>
    <s v=""/>
    <s v="1515872745988702208"/>
    <n v="1168746690"/>
    <m/>
    <m/>
    <m/>
    <m/>
    <m/>
    <m/>
    <m/>
    <m/>
    <m/>
    <m/>
    <m/>
    <m/>
    <m/>
    <m/>
    <n v="1"/>
    <s v="6"/>
    <s v="6"/>
  </r>
  <r>
    <s v="l_kunti"/>
    <s v="tvonenews"/>
    <m/>
    <m/>
    <m/>
    <m/>
    <m/>
    <m/>
    <m/>
    <m/>
    <s v="No"/>
    <n v="6"/>
    <b v="0"/>
    <m/>
    <s v="Replies to"/>
    <x v="3"/>
    <s v="@tvOneNews Jgn terlalu berharap loe nol persen,air banjir di bilang parkir n kaki trans portasi dasar kerja tidak tau,,,_x000a_Berharap jadi RI 1 mimpi loe_x000a_Tuhan tidak tidur,,,_x000a_Mendeka_x000a_Salam waras"/>
    <n v="0"/>
    <n v="0"/>
    <n v="0"/>
    <n v="0"/>
    <n v="24"/>
    <m/>
    <m/>
    <m/>
    <s v="tvonenews"/>
    <m/>
    <m/>
    <s v="Twitter for Android"/>
    <s v="in"/>
    <s v="https://twitter.com/l_kunti/status/1693591836802367824"/>
    <d v="2023-08-21T11:52:13.000"/>
    <d v="2023-08-21T00:00:00.000"/>
    <s v="11:52:13"/>
    <m/>
    <m/>
    <m/>
    <m/>
    <m/>
    <m/>
    <m/>
    <m/>
    <m/>
    <m/>
    <m/>
    <m/>
    <m/>
    <s v="https://pbs.twimg.com/profile_images/1492974809596137476/T4ZtpzDJ_normal.jpg"/>
    <s v="1693591836802367824"/>
    <s v="1693243172670128294"/>
    <s v="55507370"/>
    <s v="1693243172670128294"/>
    <s v=""/>
    <s v=""/>
    <s v="1693243172670128294"/>
    <s v="1309131860186927104"/>
    <m/>
    <m/>
    <m/>
    <m/>
    <m/>
    <n v="6"/>
    <n v="18.75"/>
    <n v="1"/>
    <n v="3.125"/>
    <n v="0"/>
    <n v="0"/>
    <n v="25"/>
    <n v="78.125"/>
    <n v="32"/>
    <n v="1"/>
    <s v="13"/>
    <s v="13"/>
  </r>
  <r>
    <s v="kasman76182831"/>
    <s v="febridiansyah"/>
    <m/>
    <m/>
    <m/>
    <m/>
    <m/>
    <m/>
    <m/>
    <m/>
    <s v="No"/>
    <n v="7"/>
    <b v="0"/>
    <m/>
    <s v="Replies to"/>
    <x v="4"/>
    <s v="@febridiansyah Dima kampuang da. _x000a_Ambo Batusangka. _x000a_Nagari Pariangan. _x000a_Katonyo salah satu Nagari terindah (?) di dunia. _x000a_Pak Jokowi pun lah datang ka nagagari tersebut. _x000a_Salam integritas dan salam nol persen."/>
    <n v="0"/>
    <n v="0"/>
    <n v="0"/>
    <n v="0"/>
    <m/>
    <m/>
    <m/>
    <m/>
    <s v="febridiansyah"/>
    <m/>
    <m/>
    <s v="Twitter for Android"/>
    <s v="in"/>
    <s v="https://twitter.com/kasman76182831/status/1547433279946514434"/>
    <d v="2022-07-14T04:10:18.000"/>
    <d v="2022-07-14T00:00:00.000"/>
    <s v="04:10:18"/>
    <m/>
    <m/>
    <m/>
    <m/>
    <m/>
    <m/>
    <m/>
    <m/>
    <m/>
    <m/>
    <m/>
    <m/>
    <m/>
    <s v="https://abs.twimg.com/sticky/default_profile_images/default_profile_normal.png"/>
    <s v="1547433279946514434"/>
    <s v="1546425733345529858"/>
    <s v="1038438863465664512"/>
    <s v="1546437200627527681"/>
    <s v=""/>
    <s v=""/>
    <s v="1546437200627527681"/>
    <s v="1089050493790216192"/>
    <m/>
    <m/>
    <m/>
    <m/>
    <m/>
    <n v="5"/>
    <n v="17.24137931034483"/>
    <n v="1"/>
    <n v="3.4482758620689653"/>
    <n v="0"/>
    <n v="0"/>
    <n v="23"/>
    <n v="79.3103448275862"/>
    <n v="29"/>
    <n v="1"/>
    <s v="36"/>
    <s v="36"/>
  </r>
  <r>
    <s v="akalseh18332460"/>
    <s v="bahlillahadalia"/>
    <m/>
    <m/>
    <m/>
    <m/>
    <m/>
    <m/>
    <m/>
    <m/>
    <s v="No"/>
    <n v="8"/>
    <b v="1"/>
    <m/>
    <s v="MentionsInReplyTo"/>
    <x v="5"/>
    <s v="@yosnggarang @bahlillahadalia Salam nol persen."/>
    <n v="0"/>
    <n v="0"/>
    <n v="0"/>
    <n v="0"/>
    <m/>
    <m/>
    <m/>
    <m/>
    <s v="yosnggarang bahlillahadalia"/>
    <m/>
    <m/>
    <s v="Twitter for Android"/>
    <s v="in"/>
    <s v="https://twitter.com/akalseh18332460/status/1480668945568788480"/>
    <d v="2022-01-10T22:32:40.000"/>
    <d v="2022-01-10T00:00:00.000"/>
    <s v="22:32:40"/>
    <m/>
    <m/>
    <m/>
    <m/>
    <m/>
    <m/>
    <m/>
    <m/>
    <m/>
    <m/>
    <m/>
    <m/>
    <m/>
    <s v="https://abs.twimg.com/sticky/default_profile_images/default_profile_normal.png"/>
    <s v="1480668945568788480"/>
    <s v="1480390440427810816"/>
    <s v="1500793416"/>
    <s v="1480390440427810816"/>
    <s v=""/>
    <s v=""/>
    <s v="1480390440427810816"/>
    <s v="1440815195354370053"/>
    <m/>
    <m/>
    <m/>
    <m/>
    <m/>
    <m/>
    <m/>
    <m/>
    <m/>
    <m/>
    <m/>
    <m/>
    <m/>
    <m/>
    <n v="1"/>
    <s v="2"/>
    <s v="2"/>
  </r>
  <r>
    <s v="akalseh18332460"/>
    <s v="menang2024"/>
    <m/>
    <m/>
    <m/>
    <m/>
    <m/>
    <m/>
    <m/>
    <m/>
    <s v="No"/>
    <n v="10"/>
    <b v="0"/>
    <m/>
    <s v="Replies to"/>
    <x v="6"/>
    <s v="@ZulkhairyLw89 @GeiszChalifah Salam nol persen saja deh...  !!_x000a__x000a_👍👍👍"/>
    <n v="1"/>
    <n v="2"/>
    <n v="1"/>
    <n v="0"/>
    <m/>
    <m/>
    <m/>
    <m/>
    <s v="geiszchalifah"/>
    <m/>
    <m/>
    <s v="Twitter for Android"/>
    <s v="in"/>
    <s v="https://twitter.com/akalseh18332460/status/1480667810476920832"/>
    <d v="2022-01-10T22:28:10.000"/>
    <d v="2022-01-10T00:00:00.000"/>
    <s v="22:28:10"/>
    <m/>
    <m/>
    <m/>
    <m/>
    <m/>
    <m/>
    <m/>
    <m/>
    <m/>
    <m/>
    <m/>
    <m/>
    <m/>
    <s v="https://abs.twimg.com/sticky/default_profile_images/default_profile_normal.png"/>
    <s v="1480667810476920832"/>
    <s v="1480566900975304710"/>
    <s v="1444604407228682248"/>
    <s v="1480600639784714243"/>
    <s v=""/>
    <s v=""/>
    <s v="1480600639784714243"/>
    <s v="1440815195354370053"/>
    <m/>
    <m/>
    <m/>
    <m/>
    <m/>
    <n v="3"/>
    <n v="42.857142857142854"/>
    <n v="0"/>
    <n v="0"/>
    <n v="0"/>
    <n v="0"/>
    <n v="4"/>
    <n v="57.142857142857146"/>
    <n v="7"/>
    <n v="1"/>
    <s v="2"/>
    <s v="2"/>
  </r>
  <r>
    <s v="akalseh18332460"/>
    <s v="kompastv"/>
    <m/>
    <m/>
    <m/>
    <m/>
    <m/>
    <m/>
    <m/>
    <m/>
    <s v="No"/>
    <n v="11"/>
    <b v="0"/>
    <m/>
    <s v="Replies to"/>
    <x v="7"/>
    <s v="@KompasTV Salam PT nol persen."/>
    <n v="0"/>
    <n v="0"/>
    <n v="0"/>
    <n v="0"/>
    <m/>
    <m/>
    <m/>
    <m/>
    <s v="kompastv"/>
    <m/>
    <m/>
    <s v="Twitter for Android"/>
    <s v="in"/>
    <s v="https://twitter.com/akalseh18332460/status/1480665313251246081"/>
    <d v="2022-01-10T22:18:14.000"/>
    <d v="2022-01-10T00:00:00.000"/>
    <s v="22:18:14"/>
    <m/>
    <m/>
    <m/>
    <m/>
    <m/>
    <m/>
    <m/>
    <m/>
    <m/>
    <m/>
    <m/>
    <m/>
    <m/>
    <s v="https://abs.twimg.com/sticky/default_profile_images/default_profile_normal.png"/>
    <s v="1480665313251246081"/>
    <s v="1480663756153622530"/>
    <s v="71436318"/>
    <s v="1480663756153622530"/>
    <s v=""/>
    <s v=""/>
    <s v="1480663756153622530"/>
    <s v="1440815195354370053"/>
    <m/>
    <m/>
    <m/>
    <m/>
    <m/>
    <n v="3"/>
    <n v="60"/>
    <n v="0"/>
    <n v="0"/>
    <n v="0"/>
    <n v="0"/>
    <n v="2"/>
    <n v="40"/>
    <n v="5"/>
    <n v="1"/>
    <s v="2"/>
    <s v="2"/>
  </r>
  <r>
    <s v="akalseh18332460"/>
    <s v="cnnindonesia"/>
    <m/>
    <m/>
    <m/>
    <m/>
    <m/>
    <m/>
    <m/>
    <m/>
    <s v="No"/>
    <n v="12"/>
    <b v="0"/>
    <m/>
    <s v="Quote"/>
    <x v="8"/>
    <s v="#SALAM NOL PERSEN SAJA DEH."/>
    <n v="0"/>
    <n v="0"/>
    <n v="0"/>
    <n v="0"/>
    <m/>
    <s v="salam"/>
    <m/>
    <m/>
    <m/>
    <m/>
    <m/>
    <s v="Twitter for Android"/>
    <s v="in"/>
    <s v="https://twitter.com/akalseh18332460/status/1480702701193228289"/>
    <d v="2022-01-11T00:46:48.000"/>
    <d v="2022-01-11T00:00:00.000"/>
    <s v="00:46:48"/>
    <m/>
    <m/>
    <m/>
    <m/>
    <m/>
    <m/>
    <m/>
    <m/>
    <m/>
    <m/>
    <m/>
    <m/>
    <m/>
    <s v="https://abs.twimg.com/sticky/default_profile_images/default_profile_normal.png"/>
    <s v="1480702701193228289"/>
    <s v="1480702701193228289"/>
    <m/>
    <s v=""/>
    <s v="1480701298227888131"/>
    <s v=""/>
    <s v="1480701298227888131"/>
    <s v="1440815195354370053"/>
    <m/>
    <m/>
    <m/>
    <m/>
    <m/>
    <n v="3"/>
    <n v="60"/>
    <n v="0"/>
    <n v="0"/>
    <n v="0"/>
    <n v="0"/>
    <n v="2"/>
    <n v="40"/>
    <n v="5"/>
    <n v="8"/>
    <s v="2"/>
    <s v="2"/>
  </r>
  <r>
    <s v="akalseh18332460"/>
    <s v="democrazymedia"/>
    <m/>
    <m/>
    <m/>
    <m/>
    <m/>
    <m/>
    <m/>
    <m/>
    <s v="No"/>
    <n v="13"/>
    <b v="0"/>
    <m/>
    <s v="Replies to"/>
    <x v="9"/>
    <s v="@democrazymedia SALAM  PT  NOL PERSEN.....!!"/>
    <n v="0"/>
    <n v="0"/>
    <n v="0"/>
    <n v="0"/>
    <m/>
    <m/>
    <m/>
    <m/>
    <s v="democrazymedia"/>
    <m/>
    <m/>
    <s v="Twitter for Android"/>
    <s v="in"/>
    <s v="https://twitter.com/akalseh18332460/status/1480664747326406659"/>
    <d v="2022-01-10T22:15:59.000"/>
    <d v="2022-01-10T00:00:00.000"/>
    <s v="22:15:59"/>
    <m/>
    <m/>
    <m/>
    <m/>
    <m/>
    <m/>
    <m/>
    <m/>
    <m/>
    <m/>
    <m/>
    <m/>
    <m/>
    <s v="https://abs.twimg.com/sticky/default_profile_images/default_profile_normal.png"/>
    <s v="1480664747326406659"/>
    <s v="1480508469199446028"/>
    <s v="1243804423001763841"/>
    <s v="1480508469199446028"/>
    <s v=""/>
    <s v=""/>
    <s v="1480508469199446028"/>
    <s v="1440815195354370053"/>
    <m/>
    <m/>
    <m/>
    <m/>
    <m/>
    <n v="3"/>
    <n v="60"/>
    <n v="0"/>
    <n v="0"/>
    <n v="0"/>
    <n v="0"/>
    <n v="2"/>
    <n v="40"/>
    <n v="5"/>
    <n v="1"/>
    <s v="2"/>
    <s v="2"/>
  </r>
  <r>
    <s v="akalseh18332460"/>
    <s v="geiszchalifah"/>
    <m/>
    <m/>
    <m/>
    <m/>
    <m/>
    <m/>
    <m/>
    <m/>
    <s v="No"/>
    <n v="14"/>
    <b v="0"/>
    <m/>
    <s v="Replies to"/>
    <x v="10"/>
    <s v="@GeiszChalifah Salam nol persen bang....!! _x000a__x000a_😅😅"/>
    <n v="0"/>
    <n v="0"/>
    <n v="0"/>
    <n v="0"/>
    <m/>
    <m/>
    <m/>
    <m/>
    <s v="geiszchalifah"/>
    <m/>
    <m/>
    <s v="Twitter for Android"/>
    <s v="in"/>
    <s v="https://twitter.com/akalseh18332460/status/1481404339281608705"/>
    <d v="2022-01-12T23:14:52.000"/>
    <d v="2022-01-12T00:00:00.000"/>
    <s v="23:14:52"/>
    <m/>
    <m/>
    <m/>
    <m/>
    <m/>
    <m/>
    <m/>
    <m/>
    <m/>
    <m/>
    <m/>
    <m/>
    <m/>
    <s v="https://abs.twimg.com/sticky/default_profile_images/default_profile_normal.png"/>
    <s v="1481404339281608705"/>
    <s v="1481277773759287298"/>
    <s v="1297510664148103168"/>
    <s v="1481277773759287298"/>
    <s v=""/>
    <s v=""/>
    <s v="1481277773759287298"/>
    <s v="1440815195354370053"/>
    <m/>
    <m/>
    <m/>
    <m/>
    <m/>
    <n v="3"/>
    <n v="60"/>
    <n v="0"/>
    <n v="0"/>
    <n v="0"/>
    <n v="0"/>
    <n v="2"/>
    <n v="40"/>
    <n v="5"/>
    <n v="1"/>
    <s v="2"/>
    <s v="2"/>
  </r>
  <r>
    <s v="pungpurwanto"/>
    <s v="pungpurwanto"/>
    <m/>
    <m/>
    <m/>
    <m/>
    <m/>
    <m/>
    <m/>
    <m/>
    <s v="No"/>
    <n v="15"/>
    <b v="0"/>
    <m/>
    <s v="Tweet"/>
    <x v="11"/>
    <s v="Daftarkan Gugatan Presidential Threshold ke MK, Refly Harun dan Ferry Juliantono: Salam Nol Persen https://t.co/kGx10wgoq9"/>
    <n v="0"/>
    <n v="0"/>
    <n v="0"/>
    <n v="0"/>
    <m/>
    <m/>
    <s v="https://nasional.sindonews.com/read/621377/12/daftarkan-gugatan-presidential-threshold-ke-mk-refly-harun-dan-ferry-juliantono-salam-nol-persen-1638875579"/>
    <s v="sindonews.com"/>
    <m/>
    <m/>
    <m/>
    <s v="Twitter Web App"/>
    <s v="in"/>
    <s v="https://twitter.com/pungpurwanto/status/1468370393182261250"/>
    <d v="2021-12-08T00:02:37.000"/>
    <d v="2021-12-08T00:00:00.000"/>
    <s v="00:02:37"/>
    <b v="0"/>
    <m/>
    <m/>
    <m/>
    <m/>
    <m/>
    <m/>
    <m/>
    <m/>
    <m/>
    <m/>
    <m/>
    <m/>
    <s v="https://pbs.twimg.com/profile_images/1421653739430051840/0NoPDUNr_normal.jpg"/>
    <s v="1468370393182261250"/>
    <s v="1468370393182261250"/>
    <m/>
    <s v=""/>
    <s v=""/>
    <s v=""/>
    <s v="1468370393182261250"/>
    <n v="131800607"/>
    <m/>
    <m/>
    <m/>
    <m/>
    <m/>
    <n v="3"/>
    <n v="21.428571428571427"/>
    <n v="1"/>
    <n v="7.142857142857143"/>
    <n v="0"/>
    <n v="0"/>
    <n v="10"/>
    <n v="71.42857142857143"/>
    <n v="14"/>
    <n v="1"/>
    <s v="4"/>
    <s v="4"/>
  </r>
  <r>
    <s v="parahyanganpost"/>
    <s v="parahyanganpost"/>
    <m/>
    <m/>
    <m/>
    <m/>
    <m/>
    <m/>
    <m/>
    <m/>
    <s v="No"/>
    <n v="16"/>
    <b v="0"/>
    <m/>
    <s v="Tweet"/>
    <x v="12"/>
    <s v="Waduhhh, melihat perkembangan dalam beberapa minggu ini, kelihatanya bakalan tidak bisa tidur nyenyak, konssolidasi posisi semakin kokoh, ngerinya lgi ada statemen dari negeri paman sam yg ngeri2 sedap, ada salam nol persen sampai lagu anyar 2024 gantian presiden.."/>
    <n v="0"/>
    <n v="0"/>
    <n v="0"/>
    <n v="0"/>
    <m/>
    <m/>
    <m/>
    <m/>
    <m/>
    <m/>
    <m/>
    <s v="Twitter for Android"/>
    <s v="in"/>
    <s v="https://twitter.com/parahyanganpost/status/1516019376289632261"/>
    <d v="2022-04-18T11:42:40.000"/>
    <d v="2022-04-18T00:00:00.000"/>
    <s v="11:42:40"/>
    <m/>
    <m/>
    <m/>
    <m/>
    <m/>
    <m/>
    <m/>
    <m/>
    <m/>
    <m/>
    <m/>
    <m/>
    <m/>
    <s v="https://pbs.twimg.com/profile_images/528933545570361344/jyXh9Ea1_normal.jpeg"/>
    <s v="1516019376289632261"/>
    <s v="1516019376289632261"/>
    <m/>
    <s v=""/>
    <s v=""/>
    <s v=""/>
    <s v="1516019376289632261"/>
    <n v="276847477"/>
    <m/>
    <m/>
    <m/>
    <m/>
    <m/>
    <n v="3"/>
    <n v="7.894736842105263"/>
    <n v="0"/>
    <n v="0"/>
    <n v="0"/>
    <n v="0"/>
    <n v="35"/>
    <n v="92.10526315789474"/>
    <n v="38"/>
    <n v="1"/>
    <s v="4"/>
    <s v="4"/>
  </r>
  <r>
    <s v="kopirasamantap"/>
    <s v="msaid_didu"/>
    <m/>
    <m/>
    <m/>
    <m/>
    <m/>
    <m/>
    <m/>
    <m/>
    <s v="No"/>
    <n v="17"/>
    <b v="1"/>
    <m/>
    <s v="Quote"/>
    <x v="13"/>
    <s v="#salamNolPersen"/>
    <n v="0"/>
    <n v="0"/>
    <n v="0"/>
    <n v="0"/>
    <m/>
    <s v="salamnolpersen"/>
    <m/>
    <m/>
    <m/>
    <m/>
    <m/>
    <s v="Twitter for Android"/>
    <s v="qht"/>
    <s v="https://twitter.com/kopirasamantap/status/1483253324170158082"/>
    <d v="2022-01-18T01:42:04.000"/>
    <d v="2022-01-18T00:00:00.000"/>
    <s v="01:42:04"/>
    <m/>
    <m/>
    <m/>
    <m/>
    <m/>
    <m/>
    <m/>
    <m/>
    <m/>
    <m/>
    <m/>
    <m/>
    <m/>
    <s v="https://pbs.twimg.com/profile_images/1579725028299780096/SyIJa330_normal.jpg"/>
    <s v="1483253324170158082"/>
    <s v="1483253324170158082"/>
    <m/>
    <s v=""/>
    <s v="1483211345042735104"/>
    <s v=""/>
    <s v="1483211345042735104"/>
    <n v="893021132"/>
    <m/>
    <m/>
    <m/>
    <m/>
    <m/>
    <n v="0"/>
    <n v="0"/>
    <n v="0"/>
    <n v="0"/>
    <n v="0"/>
    <n v="0"/>
    <n v="1"/>
    <n v="100"/>
    <n v="1"/>
    <n v="1"/>
    <s v="2"/>
    <s v="2"/>
  </r>
  <r>
    <s v="ahmadga18785105"/>
    <s v="alisyarief"/>
    <m/>
    <m/>
    <m/>
    <m/>
    <m/>
    <m/>
    <m/>
    <m/>
    <s v="No"/>
    <n v="18"/>
    <b v="0"/>
    <m/>
    <s v="Replies to"/>
    <x v="14"/>
    <s v="@alisyarief Mendingan pecintraan ketimbang munafik seperti junjunganmu Anis. Salam nol dp persen buat pendukung Anis"/>
    <n v="0"/>
    <n v="0"/>
    <n v="0"/>
    <n v="0"/>
    <m/>
    <m/>
    <m/>
    <m/>
    <s v="alisyarief"/>
    <m/>
    <m/>
    <s v="Twitter for Android"/>
    <s v="in"/>
    <s v="https://twitter.com/ahmadga18785105/status/1600709612583677952"/>
    <d v="2022-12-08T04:31:26.000"/>
    <d v="2022-12-08T00:00:00.000"/>
    <s v="04:31:26"/>
    <m/>
    <m/>
    <m/>
    <m/>
    <m/>
    <m/>
    <m/>
    <m/>
    <m/>
    <m/>
    <m/>
    <m/>
    <m/>
    <s v="https://pbs.twimg.com/profile_images/1535821403328741376/-JZH9ind_normal.png"/>
    <s v="1600709612583677952"/>
    <s v="1600356919423959041"/>
    <s v="30201110"/>
    <s v="1600356919423959041"/>
    <s v=""/>
    <s v=""/>
    <s v="1600356919423959041"/>
    <s v="1535821269916327936"/>
    <m/>
    <m/>
    <m/>
    <m/>
    <m/>
    <n v="3"/>
    <n v="20"/>
    <n v="1"/>
    <n v="6.666666666666667"/>
    <n v="0"/>
    <n v="0"/>
    <n v="11"/>
    <n v="73.33333333333333"/>
    <n v="15"/>
    <n v="1"/>
    <s v="5"/>
    <s v="5"/>
  </r>
  <r>
    <s v="ahmadga18785105"/>
    <s v="taufiqa27"/>
    <m/>
    <m/>
    <m/>
    <m/>
    <m/>
    <m/>
    <m/>
    <m/>
    <s v="No"/>
    <n v="19"/>
    <b v="0"/>
    <m/>
    <s v="Replies to"/>
    <x v="15"/>
    <s v="@taufiqa27 @geloraco Semua manusia punya salah dan dosa apalagi seperti saya yg penuh dosa yg penting manusia mengakui dosanya dan bertaubat, tapi sayang golongannmu sok suci sok bersih alias munafik. Salam nol dp persen buat kamu."/>
    <n v="0"/>
    <n v="1"/>
    <n v="0"/>
    <n v="0"/>
    <m/>
    <m/>
    <m/>
    <m/>
    <s v="taufiqa27 geloraco"/>
    <m/>
    <m/>
    <s v="Twitter for Android"/>
    <s v="in"/>
    <s v="https://twitter.com/ahmadga18785105/status/1589221355366801410"/>
    <d v="2022-11-06T11:41:12.000"/>
    <d v="2022-11-06T00:00:00.000"/>
    <s v="11:41:12"/>
    <m/>
    <m/>
    <m/>
    <m/>
    <m/>
    <m/>
    <m/>
    <m/>
    <m/>
    <m/>
    <m/>
    <m/>
    <m/>
    <s v="https://pbs.twimg.com/profile_images/1535821403328741376/-JZH9ind_normal.png"/>
    <s v="1589221355366801410"/>
    <s v="1589126440712568832"/>
    <s v="1556156185979408384"/>
    <s v="1589184916172197888"/>
    <s v=""/>
    <s v=""/>
    <s v="1589184916172197888"/>
    <s v="1535821269916327936"/>
    <m/>
    <m/>
    <m/>
    <m/>
    <m/>
    <n v="6"/>
    <n v="16.666666666666668"/>
    <n v="4"/>
    <n v="11.11111111111111"/>
    <n v="0"/>
    <n v="0"/>
    <n v="26"/>
    <n v="72.22222222222223"/>
    <n v="36"/>
    <n v="1"/>
    <s v="5"/>
    <s v="5"/>
  </r>
  <r>
    <s v="ahmadga18785105"/>
    <s v="mdy_asmara1701"/>
    <m/>
    <m/>
    <m/>
    <m/>
    <m/>
    <m/>
    <m/>
    <m/>
    <s v="No"/>
    <n v="20"/>
    <b v="0"/>
    <m/>
    <s v="Replies to"/>
    <x v="16"/>
    <s v="@Mdy_Asmara1701 Anis munafik sekali munafik selamanya tetap munapik salam nol dp persen dan oce oke salam air hujan masuk ketanah bukan masuk gorong gorong raksasa kelaut."/>
    <n v="0"/>
    <n v="0"/>
    <n v="0"/>
    <n v="0"/>
    <n v="8"/>
    <m/>
    <m/>
    <m/>
    <s v="mdy_asmara1701"/>
    <m/>
    <m/>
    <s v="Twitter for Android"/>
    <s v="in"/>
    <s v="https://twitter.com/ahmadga18785105/status/1605284758900342784"/>
    <d v="2022-12-20T19:31:25.000"/>
    <d v="2022-12-20T00:00:00.000"/>
    <s v="19:31:25"/>
    <m/>
    <m/>
    <m/>
    <m/>
    <m/>
    <m/>
    <m/>
    <m/>
    <m/>
    <m/>
    <m/>
    <m/>
    <m/>
    <s v="https://pbs.twimg.com/profile_images/1535821403328741376/-JZH9ind_normal.png"/>
    <s v="1605284758900342784"/>
    <s v="1605058251527032832"/>
    <s v="1334853481019056128"/>
    <s v="1605058251527032832"/>
    <s v=""/>
    <s v=""/>
    <s v="1605058251527032832"/>
    <s v="1535821269916327936"/>
    <m/>
    <m/>
    <m/>
    <m/>
    <m/>
    <n v="8"/>
    <n v="30.76923076923077"/>
    <n v="5"/>
    <n v="19.23076923076923"/>
    <n v="0"/>
    <n v="0"/>
    <n v="13"/>
    <n v="50"/>
    <n v="26"/>
    <n v="1"/>
    <s v="5"/>
    <s v="5"/>
  </r>
  <r>
    <s v="ahmadga18785105"/>
    <s v="geloraco"/>
    <m/>
    <m/>
    <m/>
    <m/>
    <m/>
    <m/>
    <m/>
    <m/>
    <s v="No"/>
    <n v="21"/>
    <b v="0"/>
    <m/>
    <s v="Replies to"/>
    <x v="17"/>
    <s v="@geloraco Anis unggul munafiknya salam oce oke,nol dp persen,"/>
    <n v="0"/>
    <n v="0"/>
    <n v="0"/>
    <n v="0"/>
    <n v="10"/>
    <m/>
    <m/>
    <m/>
    <s v="geloraco"/>
    <m/>
    <m/>
    <s v="Twitter for Android"/>
    <s v="in"/>
    <s v="https://twitter.com/ahmadga18785105/status/1606375983422242816"/>
    <d v="2022-12-23T19:47:34.000"/>
    <d v="2022-12-23T00:00:00.000"/>
    <s v="19:47:34"/>
    <m/>
    <m/>
    <m/>
    <m/>
    <m/>
    <m/>
    <m/>
    <m/>
    <m/>
    <m/>
    <m/>
    <m/>
    <m/>
    <s v="https://pbs.twimg.com/profile_images/1535821403328741376/-JZH9ind_normal.png"/>
    <s v="1606375983422242816"/>
    <s v="1606175709759963136"/>
    <s v="3319260420"/>
    <s v="1606175709759963136"/>
    <s v=""/>
    <s v=""/>
    <s v="1606175709759963136"/>
    <s v="1535821269916327936"/>
    <m/>
    <m/>
    <m/>
    <m/>
    <m/>
    <n v="6"/>
    <n v="60"/>
    <n v="0"/>
    <n v="0"/>
    <n v="0"/>
    <n v="0"/>
    <n v="4"/>
    <n v="40"/>
    <n v="10"/>
    <n v="8"/>
    <s v="5"/>
    <s v="5"/>
  </r>
  <r>
    <s v="ahmadga18785105"/>
    <s v="musniumar"/>
    <m/>
    <m/>
    <m/>
    <m/>
    <m/>
    <m/>
    <m/>
    <m/>
    <s v="No"/>
    <n v="22"/>
    <b v="0"/>
    <m/>
    <s v="Replies to"/>
    <x v="18"/>
    <s v="@musniumar Anda seorang munafik sama dengan junjunganmu Anis, salam nol dp persen dan salam air hujan masuk ketanah bukan masuk gorong gorong raksasa kelaut."/>
    <n v="0"/>
    <n v="0"/>
    <n v="0"/>
    <n v="0"/>
    <n v="15"/>
    <m/>
    <m/>
    <m/>
    <s v="musniumar"/>
    <m/>
    <m/>
    <s v="Twitter for Android"/>
    <s v="in"/>
    <s v="https://twitter.com/ahmadga18785105/status/1607480690165313536"/>
    <d v="2022-12-26T20:57:16.000"/>
    <d v="2022-12-26T00:00:00.000"/>
    <s v="20:57:16"/>
    <m/>
    <m/>
    <m/>
    <m/>
    <m/>
    <m/>
    <m/>
    <m/>
    <m/>
    <m/>
    <m/>
    <m/>
    <m/>
    <s v="https://pbs.twimg.com/profile_images/1535821403328741376/-JZH9ind_normal.png"/>
    <s v="1607480690165313536"/>
    <s v="1607295419763286016"/>
    <s v="114697372"/>
    <s v="1607295419763286016"/>
    <s v=""/>
    <s v=""/>
    <s v="1607295419763286016"/>
    <s v="1535821269916327936"/>
    <m/>
    <m/>
    <m/>
    <m/>
    <m/>
    <n v="7"/>
    <n v="29.166666666666668"/>
    <n v="3"/>
    <n v="12.5"/>
    <n v="0"/>
    <n v="0"/>
    <n v="14"/>
    <n v="58.333333333333336"/>
    <n v="24"/>
    <n v="1"/>
    <s v="5"/>
    <s v="5"/>
  </r>
  <r>
    <s v="bve_kairi"/>
    <s v="bve_kairi"/>
    <m/>
    <m/>
    <m/>
    <m/>
    <m/>
    <m/>
    <m/>
    <m/>
    <s v="No"/>
    <n v="23"/>
    <b v="0"/>
    <m/>
    <s v="Tweet"/>
    <x v="19"/>
    <s v="Salam Nol Persen (PCR)"/>
    <n v="0"/>
    <n v="0"/>
    <n v="0"/>
    <n v="0"/>
    <m/>
    <m/>
    <m/>
    <m/>
    <m/>
    <m/>
    <m/>
    <s v="SocialDog for X"/>
    <s v="in"/>
    <s v="https://twitter.com/bve_kairi/status/1555969567276601346"/>
    <d v="2022-08-06T17:30:28.000"/>
    <d v="2022-08-06T00:00:00.000"/>
    <s v="17:30:28"/>
    <m/>
    <m/>
    <m/>
    <m/>
    <m/>
    <m/>
    <m/>
    <m/>
    <m/>
    <m/>
    <m/>
    <m/>
    <m/>
    <s v="https://pbs.twimg.com/profile_images/1530390158822232064/IEoHz1fi_normal.jpg"/>
    <s v="1555969567276601346"/>
    <s v="1555969567276601346"/>
    <m/>
    <s v=""/>
    <s v=""/>
    <s v=""/>
    <s v="1555969567276601346"/>
    <s v="1530389585251147777"/>
    <m/>
    <m/>
    <m/>
    <m/>
    <m/>
    <n v="3"/>
    <n v="75"/>
    <n v="0"/>
    <n v="0"/>
    <n v="0"/>
    <n v="0"/>
    <n v="1"/>
    <n v="25"/>
    <n v="4"/>
    <n v="1"/>
    <s v="4"/>
    <s v="4"/>
  </r>
  <r>
    <s v="rustrijateng"/>
    <s v="rustrijateng"/>
    <m/>
    <m/>
    <m/>
    <m/>
    <m/>
    <m/>
    <m/>
    <m/>
    <s v="No"/>
    <n v="24"/>
    <b v="0"/>
    <m/>
    <s v="Tweet"/>
    <x v="20"/>
    <s v="Salam... Bahagianya Warga Jateng Dapat Rumah DP Nol Persen dari Ganjar - MSN https://t.co/o0H9w75r9I"/>
    <n v="0"/>
    <n v="0"/>
    <n v="0"/>
    <n v="0"/>
    <m/>
    <m/>
    <s v="http://dlvr.it/SdWj9q"/>
    <s v="dlvr.it"/>
    <m/>
    <m/>
    <m/>
    <s v="dlvr.it"/>
    <s v="in"/>
    <s v="https://twitter.com/rustrijateng/status/1597390272089948160"/>
    <d v="2022-11-29T00:41:33.000"/>
    <d v="2022-11-29T00:00:00.000"/>
    <s v="00:41:33"/>
    <b v="0"/>
    <m/>
    <m/>
    <m/>
    <m/>
    <m/>
    <m/>
    <m/>
    <m/>
    <m/>
    <m/>
    <m/>
    <m/>
    <s v="https://pbs.twimg.com/profile_images/428988226846457856/B0fdn-5S_normal.jpeg"/>
    <s v="1597390272089948160"/>
    <s v="1597390272089948160"/>
    <m/>
    <s v=""/>
    <s v=""/>
    <s v=""/>
    <s v="1597390272089948160"/>
    <n v="577255692"/>
    <m/>
    <m/>
    <m/>
    <m/>
    <m/>
    <n v="3"/>
    <n v="25"/>
    <n v="0"/>
    <n v="0"/>
    <n v="0"/>
    <n v="0"/>
    <n v="9"/>
    <n v="75"/>
    <n v="12"/>
    <n v="1"/>
    <s v="4"/>
    <s v="4"/>
  </r>
  <r>
    <s v="elzusmar3"/>
    <s v="salamdiaha"/>
    <m/>
    <m/>
    <m/>
    <m/>
    <m/>
    <m/>
    <m/>
    <m/>
    <s v="No"/>
    <n v="25"/>
    <b v="0"/>
    <m/>
    <s v="Replies to"/>
    <x v="21"/>
    <s v="@SalamDiahA #PeriksaAnakLurah _x000a_#PeriksaAnakLurah _x000a_Salam nol persen, maju terus pantang mundur"/>
    <n v="1"/>
    <n v="1"/>
    <n v="0"/>
    <n v="0"/>
    <m/>
    <s v="periksaanaklurah periksaanaklurah"/>
    <m/>
    <m/>
    <s v="salamdiaha"/>
    <m/>
    <m/>
    <s v="Twitter for Android"/>
    <s v="in"/>
    <s v="https://twitter.com/elzusmar3/status/1482530705804771328"/>
    <d v="2022-01-16T01:50:39.000"/>
    <d v="2022-01-16T00:00:00.000"/>
    <s v="01:50:39"/>
    <m/>
    <m/>
    <m/>
    <m/>
    <m/>
    <m/>
    <m/>
    <m/>
    <m/>
    <m/>
    <m/>
    <m/>
    <m/>
    <s v="https://pbs.twimg.com/profile_images/1522229080187301888/2PJxLPXc_normal.jpg"/>
    <s v="1482530705804771328"/>
    <s v="1481771374859677696"/>
    <s v="1472861286689959938"/>
    <s v="1481771374859677696"/>
    <s v=""/>
    <s v=""/>
    <s v="1481771374859677696"/>
    <s v="1132296517400768512"/>
    <m/>
    <m/>
    <m/>
    <m/>
    <m/>
    <n v="4"/>
    <n v="40"/>
    <n v="1"/>
    <n v="10"/>
    <n v="0"/>
    <n v="0"/>
    <n v="5"/>
    <n v="50"/>
    <n v="10"/>
    <n v="1"/>
    <s v="35"/>
    <s v="35"/>
  </r>
  <r>
    <s v="dlarsono"/>
    <s v="sailabi1"/>
    <m/>
    <m/>
    <m/>
    <m/>
    <m/>
    <m/>
    <m/>
    <m/>
    <s v="No"/>
    <n v="26"/>
    <b v="0"/>
    <m/>
    <s v="MentionsInReplyTo"/>
    <x v="22"/>
    <s v="@msaid_didu @Sailabi1 Sedang berada dimana nih Bung Said Didu? Salam, NOL Persen bung!"/>
    <n v="0"/>
    <n v="0"/>
    <n v="0"/>
    <n v="0"/>
    <m/>
    <m/>
    <m/>
    <m/>
    <s v="msaid_didu sailabi1"/>
    <m/>
    <m/>
    <s v="Twitter for Android"/>
    <s v="in"/>
    <s v="https://twitter.com/dlarsono/status/1475844442636505088"/>
    <d v="2021-12-28T15:01:49.000"/>
    <d v="2021-12-28T00:00:00.000"/>
    <s v="15:01:49"/>
    <m/>
    <m/>
    <m/>
    <m/>
    <m/>
    <m/>
    <m/>
    <m/>
    <m/>
    <m/>
    <m/>
    <m/>
    <m/>
    <s v="https://pbs.twimg.com/profile_images/1419567238357475331/groIw0Db_normal.jpg"/>
    <s v="1475844442636505088"/>
    <s v="1475061672951701507"/>
    <s v="1117990249806721024"/>
    <s v="1475061672951701507"/>
    <s v=""/>
    <s v=""/>
    <s v="1475061672951701507"/>
    <s v="1413460268756045835"/>
    <m/>
    <m/>
    <m/>
    <m/>
    <m/>
    <n v="3"/>
    <n v="23.076923076923077"/>
    <n v="0"/>
    <n v="0"/>
    <n v="0"/>
    <n v="0"/>
    <n v="9"/>
    <n v="69.23076923076923"/>
    <n v="13"/>
    <n v="1"/>
    <s v="2"/>
    <s v="2"/>
  </r>
  <r>
    <s v="dlarsono"/>
    <s v="dlarsono"/>
    <m/>
    <m/>
    <m/>
    <m/>
    <m/>
    <m/>
    <m/>
    <m/>
    <s v="No"/>
    <n v="28"/>
    <b v="0"/>
    <m/>
    <s v="Tweet"/>
    <x v="23"/>
    <s v="Partai KONGRES Dukung PT 0 %._x000a_Salam, NOL Persen."/>
    <n v="0"/>
    <n v="0"/>
    <n v="0"/>
    <n v="0"/>
    <m/>
    <m/>
    <m/>
    <m/>
    <m/>
    <m/>
    <m/>
    <s v="Twitter for Android"/>
    <s v="in"/>
    <s v="https://twitter.com/dlarsono/status/1475843914422648837"/>
    <d v="2021-12-28T14:59:43.000"/>
    <d v="2021-12-28T00:00:00.000"/>
    <s v="14:59:43"/>
    <m/>
    <m/>
    <m/>
    <m/>
    <m/>
    <m/>
    <m/>
    <m/>
    <m/>
    <m/>
    <m/>
    <m/>
    <m/>
    <s v="https://pbs.twimg.com/profile_images/1419567238357475331/groIw0Db_normal.jpg"/>
    <s v="1475843914422648837"/>
    <s v="1475843914422648837"/>
    <m/>
    <s v=""/>
    <s v=""/>
    <s v=""/>
    <s v="1475843914422648837"/>
    <s v="1413460268756045835"/>
    <m/>
    <m/>
    <m/>
    <m/>
    <m/>
    <n v="4"/>
    <n v="50"/>
    <n v="0"/>
    <n v="0"/>
    <n v="0"/>
    <n v="0"/>
    <n v="4"/>
    <n v="50"/>
    <n v="8"/>
    <n v="1"/>
    <s v="2"/>
    <s v="2"/>
  </r>
  <r>
    <s v="zephmiss"/>
    <s v="fahiraidris"/>
    <m/>
    <m/>
    <m/>
    <m/>
    <m/>
    <m/>
    <m/>
    <m/>
    <s v="No"/>
    <n v="29"/>
    <b v="1"/>
    <m/>
    <s v="Replies to"/>
    <x v="24"/>
    <s v="@fahiraidris SMG Allah lancarkan dan mudahkan smua proses dan Allah ridhoi sgl bntuk ikhtiar ini shg Indonesia kmbali berjaya tanpa oligarki #salamnolpersen #salamnolpersen"/>
    <n v="1"/>
    <n v="1"/>
    <n v="1"/>
    <n v="0"/>
    <m/>
    <s v="salamnolpersen salamnolpersen"/>
    <m/>
    <m/>
    <s v="fahiraidris"/>
    <m/>
    <m/>
    <s v="Twitter for Android"/>
    <s v="in"/>
    <s v="https://twitter.com/zephmiss/status/1480875070923079685"/>
    <d v="2022-01-11T12:11:44.000"/>
    <d v="2022-01-11T00:00:00.000"/>
    <s v="12:11:44"/>
    <m/>
    <m/>
    <m/>
    <m/>
    <m/>
    <m/>
    <m/>
    <m/>
    <m/>
    <m/>
    <m/>
    <m/>
    <m/>
    <s v="https://pbs.twimg.com/profile_images/1577051339690950656/afYmBGZ8_normal.jpg"/>
    <s v="1480875070923079685"/>
    <s v="1480743882191036417"/>
    <s v="68304724"/>
    <s v="1480743882191036417"/>
    <s v=""/>
    <s v=""/>
    <s v="1480743882191036417"/>
    <s v="1343817405596745728"/>
    <m/>
    <m/>
    <m/>
    <m/>
    <m/>
    <n v="0"/>
    <n v="0"/>
    <n v="0"/>
    <n v="0"/>
    <n v="0"/>
    <n v="0"/>
    <n v="23"/>
    <n v="100"/>
    <n v="23"/>
    <n v="1"/>
    <s v="5"/>
    <s v="5"/>
  </r>
  <r>
    <s v="yeni_ekawati"/>
    <s v="reflyhz"/>
    <m/>
    <m/>
    <m/>
    <m/>
    <m/>
    <m/>
    <m/>
    <m/>
    <s v="No"/>
    <n v="30"/>
    <b v="0"/>
    <m/>
    <s v="MentionsInReplyTo"/>
    <x v="25"/>
    <s v="@DrEvaChaniago @Siajapul @ReflyHZ Salam Nol Persen buDok !_x000a__x000a_Wapres bole_x000a_Menkes oke"/>
    <n v="0"/>
    <n v="0"/>
    <n v="0"/>
    <n v="0"/>
    <m/>
    <m/>
    <m/>
    <m/>
    <s v="drevachaniago reflyhz"/>
    <m/>
    <m/>
    <s v="Twitter for Android"/>
    <s v="in"/>
    <s v="https://twitter.com/yeni_ekawati/status/1537799362884952064"/>
    <d v="2022-06-17T14:08:33.000"/>
    <d v="2022-06-17T00:00:00.000"/>
    <s v="14:08:33"/>
    <m/>
    <m/>
    <m/>
    <m/>
    <m/>
    <m/>
    <m/>
    <m/>
    <m/>
    <m/>
    <m/>
    <m/>
    <m/>
    <s v="https://pbs.twimg.com/profile_images/1395768456671240196/ODQkyYlU_normal.jpg"/>
    <s v="1537799362884952064"/>
    <s v="1537740213354516480"/>
    <s v="1355632532"/>
    <s v="1537770421541433344"/>
    <s v=""/>
    <s v=""/>
    <s v="1537770421541433344"/>
    <n v="292148810"/>
    <m/>
    <m/>
    <m/>
    <m/>
    <m/>
    <n v="4"/>
    <n v="36.36363636363637"/>
    <n v="0"/>
    <n v="0"/>
    <n v="0"/>
    <n v="0"/>
    <n v="7"/>
    <n v="63.63636363636363"/>
    <n v="11"/>
    <n v="1"/>
    <s v="9"/>
    <s v="9"/>
  </r>
  <r>
    <s v="y_yoeng"/>
    <s v="papa_loren"/>
    <m/>
    <m/>
    <m/>
    <m/>
    <m/>
    <m/>
    <m/>
    <m/>
    <s v="No"/>
    <n v="31"/>
    <b v="0"/>
    <m/>
    <s v="Replies to"/>
    <x v="26"/>
    <s v="@papa_loren Salam nol persen.."/>
    <n v="0"/>
    <n v="2"/>
    <n v="1"/>
    <n v="0"/>
    <m/>
    <m/>
    <m/>
    <m/>
    <s v="papa_loren"/>
    <m/>
    <m/>
    <s v="Twitter for Android"/>
    <s v="in"/>
    <s v="https://twitter.com/y_yoeng/status/1534386293886443520"/>
    <d v="2022-06-08T04:06:14.000"/>
    <d v="2022-06-08T00:00:00.000"/>
    <s v="04:06:14"/>
    <m/>
    <m/>
    <m/>
    <m/>
    <m/>
    <m/>
    <m/>
    <m/>
    <m/>
    <m/>
    <m/>
    <m/>
    <m/>
    <s v="https://pbs.twimg.com/profile_images/1526536252509499392/Y-B9JKB2_normal.jpg"/>
    <s v="1534386293886443520"/>
    <s v="1534382291891343360"/>
    <s v="1466651308102877187"/>
    <s v="1534382291891343360"/>
    <s v=""/>
    <s v=""/>
    <s v="1534382291891343360"/>
    <s v="1413684899127590914"/>
    <m/>
    <m/>
    <m/>
    <m/>
    <m/>
    <n v="3"/>
    <n v="75"/>
    <n v="0"/>
    <n v="0"/>
    <n v="0"/>
    <n v="0"/>
    <n v="1"/>
    <n v="25"/>
    <n v="4"/>
    <n v="1"/>
    <s v="12"/>
    <s v="12"/>
  </r>
  <r>
    <s v="intanwarhani"/>
    <s v="keuangannews_id"/>
    <m/>
    <m/>
    <m/>
    <m/>
    <m/>
    <m/>
    <m/>
    <m/>
    <s v="No"/>
    <n v="32"/>
    <b v="0"/>
    <m/>
    <s v="Replies to"/>
    <x v="27"/>
    <s v="@keuangannews_id Salam nol persen"/>
    <n v="0"/>
    <n v="0"/>
    <n v="0"/>
    <n v="0"/>
    <m/>
    <m/>
    <m/>
    <m/>
    <s v="keuangannews_id"/>
    <m/>
    <m/>
    <s v="Twitter for Android"/>
    <s v="in"/>
    <s v="https://twitter.com/intanwarhani/status/1566390182114635776"/>
    <d v="2022-09-04T11:38:16.000"/>
    <d v="2022-09-04T00:00:00.000"/>
    <s v="11:38:16"/>
    <m/>
    <m/>
    <m/>
    <m/>
    <m/>
    <m/>
    <m/>
    <m/>
    <m/>
    <m/>
    <m/>
    <m/>
    <m/>
    <s v="https://pbs.twimg.com/profile_images/1517492179719323648/h3uLtUhZ_normal.jpg"/>
    <s v="1566390182114635776"/>
    <s v="1566057699023892480"/>
    <s v="1226436091617505281"/>
    <s v="1566057699023892480"/>
    <s v=""/>
    <s v=""/>
    <s v="1566057699023892480"/>
    <s v="1517491868690690051"/>
    <m/>
    <m/>
    <m/>
    <m/>
    <m/>
    <n v="3"/>
    <n v="75"/>
    <n v="0"/>
    <n v="0"/>
    <n v="0"/>
    <n v="0"/>
    <n v="1"/>
    <n v="25"/>
    <n v="4"/>
    <n v="1"/>
    <s v="2"/>
    <s v="2"/>
  </r>
  <r>
    <s v="intanwarhani"/>
    <s v="msaid_didu"/>
    <m/>
    <m/>
    <m/>
    <m/>
    <m/>
    <m/>
    <m/>
    <m/>
    <s v="No"/>
    <n v="33"/>
    <b v="0"/>
    <m/>
    <s v="Replies to"/>
    <x v="28"/>
    <s v="@msaid_didu Penting nya dari kecil di didik agar tidak suka berhutang..dan mempunyai jiwa tangung jawab yg penuh.salam nol persen"/>
    <n v="0"/>
    <n v="1"/>
    <n v="0"/>
    <n v="0"/>
    <m/>
    <m/>
    <m/>
    <m/>
    <s v="msaid_didu"/>
    <m/>
    <m/>
    <s v="Twitter for Android"/>
    <s v="in"/>
    <s v="https://twitter.com/intanwarhani/status/1555018855357247488"/>
    <d v="2022-08-04T02:32:40.000"/>
    <d v="2022-08-04T00:00:00.000"/>
    <s v="02:32:40"/>
    <m/>
    <m/>
    <m/>
    <m/>
    <m/>
    <m/>
    <m/>
    <m/>
    <m/>
    <m/>
    <m/>
    <m/>
    <m/>
    <s v="https://pbs.twimg.com/profile_images/1517492179719323648/h3uLtUhZ_normal.jpg"/>
    <s v="1555018855357247488"/>
    <s v="1554814727368638464"/>
    <s v="1117990249806721024"/>
    <s v="1554814727368638464"/>
    <s v=""/>
    <s v=""/>
    <s v="1554814727368638464"/>
    <s v="1517491868690690051"/>
    <m/>
    <m/>
    <m/>
    <m/>
    <m/>
    <n v="4"/>
    <n v="19.047619047619047"/>
    <n v="0"/>
    <n v="0"/>
    <n v="0"/>
    <n v="0"/>
    <n v="17"/>
    <n v="80.95238095238095"/>
    <n v="21"/>
    <n v="1"/>
    <s v="2"/>
    <s v="2"/>
  </r>
  <r>
    <s v="intanwarhani"/>
    <s v="cnnindonesia"/>
    <m/>
    <m/>
    <m/>
    <m/>
    <m/>
    <m/>
    <m/>
    <m/>
    <s v="No"/>
    <n v="34"/>
    <b v="0"/>
    <m/>
    <s v="Replies to"/>
    <x v="29"/>
    <s v="@CNNIndonesia Salam nol persen ajah"/>
    <n v="0"/>
    <n v="0"/>
    <n v="0"/>
    <n v="0"/>
    <m/>
    <m/>
    <m/>
    <m/>
    <s v="cnnindonesia"/>
    <m/>
    <m/>
    <s v="Twitter for Android"/>
    <s v="in"/>
    <s v="https://twitter.com/intanwarhani/status/1554814237868191745"/>
    <d v="2022-08-03T12:59:36.000"/>
    <d v="2022-08-03T00:00:00.000"/>
    <s v="12:59:36"/>
    <m/>
    <m/>
    <m/>
    <m/>
    <m/>
    <m/>
    <m/>
    <m/>
    <m/>
    <m/>
    <m/>
    <m/>
    <m/>
    <s v="https://pbs.twimg.com/profile_images/1517492179719323648/h3uLtUhZ_normal.jpg"/>
    <s v="1554814237868191745"/>
    <s v="1554715594561163264"/>
    <s v="17128975"/>
    <s v="1554715594561163264"/>
    <s v=""/>
    <s v=""/>
    <s v="1554715594561163264"/>
    <s v="1517491868690690051"/>
    <m/>
    <m/>
    <m/>
    <m/>
    <m/>
    <n v="3"/>
    <n v="60"/>
    <n v="0"/>
    <n v="0"/>
    <n v="0"/>
    <n v="0"/>
    <n v="2"/>
    <n v="40"/>
    <n v="5"/>
    <n v="1"/>
    <s v="2"/>
    <s v="2"/>
  </r>
  <r>
    <s v="sjaifulskb"/>
    <s v="tan_mar3m"/>
    <m/>
    <m/>
    <m/>
    <m/>
    <m/>
    <m/>
    <m/>
    <m/>
    <s v="No"/>
    <n v="35"/>
    <b v="0"/>
    <m/>
    <s v="Replies to"/>
    <x v="30"/>
    <s v="@Markonah_003 Salam nol persen"/>
    <n v="0"/>
    <n v="0"/>
    <n v="0"/>
    <n v="0"/>
    <m/>
    <m/>
    <m/>
    <m/>
    <m/>
    <m/>
    <m/>
    <s v="Twitter for Android"/>
    <s v="in"/>
    <s v="https://twitter.com/sjaifulskb/status/1477884165521436672"/>
    <d v="2022-01-03T06:06:57.000"/>
    <d v="2022-01-03T00:00:00.000"/>
    <s v="06:06:57"/>
    <m/>
    <m/>
    <m/>
    <m/>
    <m/>
    <m/>
    <m/>
    <m/>
    <m/>
    <m/>
    <m/>
    <m/>
    <m/>
    <s v="https://pbs.twimg.com/profile_images/3657796708/307ef7f44163cbbfab6a1de091d5a307_normal.jpeg"/>
    <s v="1477884165521436672"/>
    <s v="1459879341211353098"/>
    <s v="1270980383761330176"/>
    <s v="1459879341211353098"/>
    <s v=""/>
    <s v=""/>
    <s v="1459879341211353098"/>
    <n v="322726050"/>
    <m/>
    <m/>
    <m/>
    <m/>
    <m/>
    <n v="3"/>
    <n v="75"/>
    <n v="0"/>
    <n v="0"/>
    <n v="0"/>
    <n v="0"/>
    <n v="1"/>
    <n v="25"/>
    <n v="4"/>
    <n v="1"/>
    <s v="20"/>
    <s v="20"/>
  </r>
  <r>
    <s v="sjaifulskb"/>
    <s v="jokowi"/>
    <m/>
    <m/>
    <m/>
    <m/>
    <m/>
    <m/>
    <m/>
    <m/>
    <s v="No"/>
    <n v="36"/>
    <b v="0"/>
    <m/>
    <s v="Replies to"/>
    <x v="31"/>
    <s v="@jokowi salam nol persen"/>
    <n v="0"/>
    <n v="2"/>
    <n v="0"/>
    <n v="0"/>
    <n v="132"/>
    <m/>
    <m/>
    <m/>
    <s v="jokowi"/>
    <m/>
    <m/>
    <s v="Twitter for Android"/>
    <s v="in"/>
    <s v="https://twitter.com/sjaifulskb/status/1642903143016189955"/>
    <d v="2023-04-03T14:53:27.000"/>
    <d v="2023-04-03T00:00:00.000"/>
    <s v="14:53:27"/>
    <m/>
    <m/>
    <m/>
    <m/>
    <m/>
    <m/>
    <m/>
    <m/>
    <m/>
    <m/>
    <m/>
    <m/>
    <m/>
    <s v="https://pbs.twimg.com/profile_images/3657796708/307ef7f44163cbbfab6a1de091d5a307_normal.jpeg"/>
    <s v="1642903143016189955"/>
    <s v="1642873786419793920"/>
    <s v="366987179"/>
    <s v="1642873786419793920"/>
    <s v=""/>
    <s v=""/>
    <s v="1642873786419793920"/>
    <n v="322726050"/>
    <m/>
    <m/>
    <m/>
    <m/>
    <m/>
    <n v="3"/>
    <n v="75"/>
    <n v="0"/>
    <n v="0"/>
    <n v="0"/>
    <n v="0"/>
    <n v="1"/>
    <n v="25"/>
    <n v="4"/>
    <n v="1"/>
    <s v="20"/>
    <s v="20"/>
  </r>
  <r>
    <s v="81calra"/>
    <s v="reflyhz"/>
    <m/>
    <m/>
    <m/>
    <m/>
    <m/>
    <m/>
    <m/>
    <m/>
    <s v="No"/>
    <n v="37"/>
    <b v="1"/>
    <m/>
    <s v="Replies to"/>
    <x v="32"/>
    <s v="@ReflyHZ keren _x000a_#SALAMNOLPERSEN"/>
    <n v="0"/>
    <n v="0"/>
    <n v="0"/>
    <n v="0"/>
    <m/>
    <s v="salamnolpersen"/>
    <m/>
    <m/>
    <s v="reflyhz"/>
    <m/>
    <m/>
    <s v="Twitter for Android"/>
    <s v="hu"/>
    <s v="https://twitter.com/81calra/status/1479249514301063174"/>
    <d v="2022-01-07T00:32:21.000"/>
    <d v="2022-01-07T00:00:00.000"/>
    <s v="00:32:21"/>
    <m/>
    <m/>
    <m/>
    <m/>
    <m/>
    <m/>
    <m/>
    <m/>
    <m/>
    <m/>
    <m/>
    <m/>
    <m/>
    <s v="https://pbs.twimg.com/profile_images/1101616992027500545/zqfFjyzK_normal.jpg"/>
    <s v="1479249514301063174"/>
    <s v="1479042455064350721"/>
    <s v="185116088"/>
    <s v="1479042455064350721"/>
    <s v=""/>
    <s v=""/>
    <s v="1479042455064350721"/>
    <s v="1101147210924744704"/>
    <m/>
    <m/>
    <m/>
    <m/>
    <m/>
    <n v="1"/>
    <n v="33.333333333333336"/>
    <n v="0"/>
    <n v="0"/>
    <n v="0"/>
    <n v="0"/>
    <n v="2"/>
    <n v="66.66666666666667"/>
    <n v="3"/>
    <n v="1"/>
    <s v="9"/>
    <s v="9"/>
  </r>
  <r>
    <s v="pengabdi99"/>
    <s v="pengabdi99"/>
    <m/>
    <m/>
    <m/>
    <m/>
    <m/>
    <m/>
    <m/>
    <m/>
    <s v="No"/>
    <n v="38"/>
    <b v="1"/>
    <m/>
    <s v="Tweet"/>
    <x v="33"/>
    <s v="Di Indonesia ini mestinya bisa juga. _x000a__x000a_#SalamNolPersen https://t.co/n4wZCqDxCa"/>
    <n v="0"/>
    <n v="1"/>
    <n v="0"/>
    <n v="0"/>
    <m/>
    <s v="salamnolpersen"/>
    <m/>
    <m/>
    <m/>
    <s v="https://t.co/n4wZCqDxCa https://pbs.twimg.com/media/FOYu6fJXEAM9jhR.jpg"/>
    <s v="photo"/>
    <s v="Twitter for Android"/>
    <s v="in"/>
    <s v="https://twitter.com/pengabdi99/status/1505942722766680069"/>
    <d v="2022-03-21T16:21:38.000"/>
    <d v="2022-03-21T00:00:00.000"/>
    <s v="16:21:38"/>
    <b v="0"/>
    <m/>
    <m/>
    <m/>
    <m/>
    <m/>
    <m/>
    <m/>
    <s v="3_1505942707730059267"/>
    <m/>
    <m/>
    <m/>
    <m/>
    <s v="https://pbs.twimg.com/media/FOYu6fJXEAM9jhR.jpg"/>
    <s v="1505942722766680069"/>
    <s v="1505942722766680069"/>
    <m/>
    <s v=""/>
    <s v=""/>
    <s v=""/>
    <s v="1505942722766680069"/>
    <n v="97328251"/>
    <m/>
    <m/>
    <m/>
    <m/>
    <m/>
    <n v="0"/>
    <n v="0"/>
    <n v="0"/>
    <n v="0"/>
    <n v="0"/>
    <n v="0"/>
    <n v="7"/>
    <n v="100"/>
    <n v="7"/>
    <n v="1"/>
    <s v="4"/>
    <s v="4"/>
  </r>
  <r>
    <s v="arif_hakim86"/>
    <s v="changeorg_id"/>
    <m/>
    <m/>
    <m/>
    <m/>
    <m/>
    <m/>
    <m/>
    <m/>
    <s v="No"/>
    <n v="39"/>
    <b v="0"/>
    <m/>
    <s v="Mentions"/>
    <x v="34"/>
    <s v="Salam 0%_x000a_Mahkamah konstitusi Republik Indonesia: Presidential threshold nol persen - Tandatangani Petisi! https://t.co/5ziIdYNDhX lewat @ChangeOrg_ID"/>
    <n v="0"/>
    <n v="0"/>
    <n v="0"/>
    <n v="0"/>
    <m/>
    <m/>
    <s v="https://chng.it/K4pfyT7w"/>
    <s v="chng.it"/>
    <s v="changeorg_id"/>
    <m/>
    <m/>
    <s v="Twitter for Android"/>
    <s v="in"/>
    <s v="https://twitter.com/arif_hakim86/status/1471967633926868995"/>
    <d v="2021-12-17T22:16:46.000"/>
    <d v="2021-12-17T00:00:00.000"/>
    <s v="22:16:46"/>
    <b v="0"/>
    <m/>
    <m/>
    <m/>
    <m/>
    <m/>
    <m/>
    <m/>
    <m/>
    <m/>
    <m/>
    <m/>
    <m/>
    <s v="https://pbs.twimg.com/profile_images/1296768117436121088/Flj7WTWI_normal.jpg"/>
    <s v="1471967633926868995"/>
    <s v="1471967633926868995"/>
    <m/>
    <s v=""/>
    <s v=""/>
    <s v=""/>
    <s v="1471967633926868995"/>
    <n v="163947327"/>
    <m/>
    <m/>
    <m/>
    <m/>
    <m/>
    <n v="4"/>
    <n v="28.571428571428573"/>
    <n v="0"/>
    <n v="0"/>
    <n v="0"/>
    <n v="0"/>
    <n v="10"/>
    <n v="71.42857142857143"/>
    <n v="14"/>
    <n v="8"/>
    <s v="6"/>
    <s v="6"/>
  </r>
  <r>
    <s v="saibooali"/>
    <s v="msaid_didu"/>
    <m/>
    <m/>
    <m/>
    <m/>
    <m/>
    <m/>
    <m/>
    <m/>
    <s v="No"/>
    <n v="40"/>
    <b v="0"/>
    <m/>
    <s v="Replies to"/>
    <x v="35"/>
    <s v="@msaid_didu Salam nol persen"/>
    <n v="0"/>
    <n v="0"/>
    <n v="0"/>
    <n v="0"/>
    <m/>
    <m/>
    <m/>
    <m/>
    <s v="msaid_didu"/>
    <m/>
    <m/>
    <s v="Twitter for iPhone"/>
    <s v="in"/>
    <s v="https://twitter.com/saibooali/status/1472762799570907136"/>
    <d v="2021-12-20T02:56:28.000"/>
    <d v="2021-12-20T00:00:00.000"/>
    <s v="02:56:28"/>
    <m/>
    <m/>
    <m/>
    <m/>
    <m/>
    <m/>
    <m/>
    <m/>
    <m/>
    <m/>
    <m/>
    <m/>
    <m/>
    <s v="https://pbs.twimg.com/profile_images/1614982638250659841/IPTjvBjf_normal.jpg"/>
    <s v="1472762799570907136"/>
    <s v="1472546120454737922"/>
    <s v="1117990249806721024"/>
    <s v="1472546120454737922"/>
    <s v=""/>
    <s v=""/>
    <s v="1472546120454737922"/>
    <n v="3181369904"/>
    <m/>
    <m/>
    <m/>
    <m/>
    <m/>
    <n v="3"/>
    <n v="75"/>
    <n v="0"/>
    <n v="0"/>
    <n v="0"/>
    <n v="0"/>
    <n v="1"/>
    <n v="25"/>
    <n v="4"/>
    <n v="1"/>
    <s v="2"/>
    <s v="2"/>
  </r>
  <r>
    <s v="pahmilubis10"/>
    <s v="keuangannews_id"/>
    <m/>
    <m/>
    <m/>
    <m/>
    <m/>
    <m/>
    <m/>
    <m/>
    <s v="No"/>
    <n v="41"/>
    <b v="0"/>
    <m/>
    <s v="Quote"/>
    <x v="36"/>
    <s v="Ada ngak perusahaan Indonesia dicina yg pajaknya nol persen_x000a_Salam pancasila"/>
    <n v="0"/>
    <n v="0"/>
    <n v="0"/>
    <n v="0"/>
    <m/>
    <m/>
    <m/>
    <m/>
    <m/>
    <m/>
    <m/>
    <s v="Twitter for Android"/>
    <s v="in"/>
    <s v="https://twitter.com/pahmilubis10/status/1507153478501937152"/>
    <d v="2022-03-25T00:32:45.000"/>
    <d v="2022-03-25T00:00:00.000"/>
    <s v="00:32:45"/>
    <m/>
    <m/>
    <m/>
    <m/>
    <m/>
    <m/>
    <m/>
    <m/>
    <m/>
    <m/>
    <m/>
    <m/>
    <m/>
    <s v="https://pbs.twimg.com/profile_images/1462267659978887168/SvR_oFeR_normal.jpg"/>
    <s v="1507153478501937152"/>
    <s v="1507153478501937152"/>
    <m/>
    <s v=""/>
    <s v="1507029335357759492"/>
    <s v=""/>
    <s v="1507029335357759492"/>
    <s v="1462263839701942274"/>
    <m/>
    <m/>
    <m/>
    <m/>
    <m/>
    <n v="3"/>
    <n v="27.272727272727273"/>
    <n v="0"/>
    <n v="0"/>
    <n v="0"/>
    <n v="0"/>
    <n v="8"/>
    <n v="72.72727272727273"/>
    <n v="11"/>
    <n v="1"/>
    <s v="2"/>
    <s v="2"/>
  </r>
  <r>
    <s v="bonco19"/>
    <s v="changeorg_id"/>
    <m/>
    <m/>
    <m/>
    <m/>
    <m/>
    <m/>
    <m/>
    <m/>
    <s v="No"/>
    <n v="42"/>
    <b v="0"/>
    <m/>
    <s v="Mentions"/>
    <x v="37"/>
    <s v="Salam nol persen.._x000a__x000a_Mahkamah konstitusi Republik Indonesia: Presidential threshold nol persen - Tandatangani Petisi! https://t.co/dZN6W3w5kg lewat @ChangeOrg_ID"/>
    <n v="0"/>
    <n v="1"/>
    <n v="0"/>
    <n v="0"/>
    <m/>
    <m/>
    <s v="https://chng.it/XpRxqxpy"/>
    <s v="chng.it"/>
    <s v="changeorg_id"/>
    <m/>
    <m/>
    <s v="Twitter Web App"/>
    <s v="in"/>
    <s v="https://twitter.com/bonco19/status/1474576330125574146"/>
    <d v="2021-12-25T03:02:48.000"/>
    <d v="2021-12-25T00:00:00.000"/>
    <s v="03:02:48"/>
    <b v="0"/>
    <m/>
    <m/>
    <m/>
    <m/>
    <m/>
    <m/>
    <m/>
    <m/>
    <m/>
    <m/>
    <m/>
    <m/>
    <s v="https://pbs.twimg.com/profile_images/1210455325553254400/hZBCLWzB_normal.jpg"/>
    <s v="1474576330125574146"/>
    <s v="1474576330125574146"/>
    <m/>
    <s v=""/>
    <s v=""/>
    <s v=""/>
    <s v="1474576330125574146"/>
    <n v="34505885"/>
    <m/>
    <m/>
    <m/>
    <m/>
    <m/>
    <n v="6"/>
    <n v="40"/>
    <n v="0"/>
    <n v="0"/>
    <n v="0"/>
    <n v="0"/>
    <n v="9"/>
    <n v="60"/>
    <n v="15"/>
    <n v="1"/>
    <s v="6"/>
    <s v="6"/>
  </r>
  <r>
    <s v="bonco19"/>
    <s v="refrizalskb"/>
    <m/>
    <m/>
    <m/>
    <m/>
    <m/>
    <m/>
    <m/>
    <m/>
    <s v="No"/>
    <n v="43"/>
    <b v="0"/>
    <m/>
    <s v="Replies to"/>
    <x v="38"/>
    <s v="@refrizalskb Salam nol persen"/>
    <n v="0"/>
    <n v="0"/>
    <n v="0"/>
    <n v="0"/>
    <m/>
    <m/>
    <m/>
    <m/>
    <s v="refrizalskb"/>
    <m/>
    <m/>
    <s v="Twitter for Android"/>
    <s v="in"/>
    <s v="https://twitter.com/bonco19/status/1490107699979186176"/>
    <d v="2022-02-05T23:38:55.000"/>
    <d v="2022-02-05T00:00:00.000"/>
    <s v="23:38:55"/>
    <m/>
    <m/>
    <m/>
    <m/>
    <m/>
    <m/>
    <m/>
    <m/>
    <m/>
    <m/>
    <m/>
    <m/>
    <m/>
    <s v="https://pbs.twimg.com/profile_images/1210455325553254400/hZBCLWzB_normal.jpg"/>
    <s v="1490107699979186176"/>
    <s v="1470540048713994240"/>
    <s v="1279880442"/>
    <s v="1470540048713994240"/>
    <s v=""/>
    <s v=""/>
    <s v="1470540048713994240"/>
    <n v="34505885"/>
    <m/>
    <m/>
    <m/>
    <m/>
    <m/>
    <n v="3"/>
    <n v="75"/>
    <n v="0"/>
    <n v="0"/>
    <n v="0"/>
    <n v="0"/>
    <n v="1"/>
    <n v="25"/>
    <n v="4"/>
    <n v="1"/>
    <s v="6"/>
    <s v="6"/>
  </r>
  <r>
    <s v="bonco19"/>
    <s v="oposisicerdas"/>
    <m/>
    <m/>
    <m/>
    <m/>
    <m/>
    <m/>
    <m/>
    <m/>
    <s v="No"/>
    <n v="44"/>
    <b v="0"/>
    <m/>
    <s v="Quote"/>
    <x v="39"/>
    <s v="Perjuangan belum berakhir, salam nol persen"/>
    <n v="0"/>
    <n v="0"/>
    <n v="0"/>
    <n v="0"/>
    <m/>
    <m/>
    <m/>
    <m/>
    <m/>
    <m/>
    <m/>
    <s v="Twitter for Android"/>
    <s v="in"/>
    <s v="https://twitter.com/bonco19/status/1475628268409978887"/>
    <d v="2021-12-28T00:42:49.000"/>
    <d v="2021-12-28T00:00:00.000"/>
    <s v="00:42:49"/>
    <m/>
    <m/>
    <m/>
    <m/>
    <m/>
    <m/>
    <m/>
    <m/>
    <m/>
    <m/>
    <m/>
    <m/>
    <m/>
    <s v="https://pbs.twimg.com/profile_images/1210455325553254400/hZBCLWzB_normal.jpg"/>
    <s v="1475628268409978887"/>
    <s v="1475628268409978887"/>
    <m/>
    <s v=""/>
    <s v="1475627066351489028"/>
    <s v=""/>
    <s v="1475627066351489028"/>
    <n v="34505885"/>
    <m/>
    <m/>
    <m/>
    <m/>
    <m/>
    <n v="4"/>
    <n v="66.66666666666667"/>
    <n v="0"/>
    <n v="0"/>
    <n v="0"/>
    <n v="0"/>
    <n v="2"/>
    <n v="33.333333333333336"/>
    <n v="6"/>
    <n v="1"/>
    <s v="6"/>
    <s v="10"/>
  </r>
  <r>
    <s v="bonco19"/>
    <s v="sahabat_bangsa"/>
    <m/>
    <m/>
    <m/>
    <m/>
    <m/>
    <m/>
    <m/>
    <m/>
    <s v="No"/>
    <n v="45"/>
    <b v="0"/>
    <m/>
    <s v="Quote"/>
    <x v="40"/>
    <s v="salam nol persen..."/>
    <n v="0"/>
    <n v="1"/>
    <n v="0"/>
    <n v="0"/>
    <m/>
    <m/>
    <m/>
    <m/>
    <m/>
    <m/>
    <m/>
    <s v="Twitter Web App"/>
    <s v="in"/>
    <s v="https://twitter.com/bonco19/status/1474973841092792324"/>
    <d v="2021-12-26T05:22:22.000"/>
    <d v="2021-12-26T00:00:00.000"/>
    <s v="05:22:22"/>
    <m/>
    <m/>
    <m/>
    <m/>
    <m/>
    <m/>
    <m/>
    <m/>
    <m/>
    <m/>
    <m/>
    <m/>
    <m/>
    <s v="https://pbs.twimg.com/profile_images/1210455325553254400/hZBCLWzB_normal.jpg"/>
    <s v="1474973841092792324"/>
    <s v="1474973841092792324"/>
    <m/>
    <s v=""/>
    <s v="1474943167170371584"/>
    <s v=""/>
    <s v="1474943167170371584"/>
    <n v="34505885"/>
    <m/>
    <m/>
    <m/>
    <m/>
    <m/>
    <n v="3"/>
    <n v="100"/>
    <n v="0"/>
    <n v="0"/>
    <n v="0"/>
    <n v="0"/>
    <n v="0"/>
    <n v="0"/>
    <n v="3"/>
    <n v="1"/>
    <s v="6"/>
    <s v="6"/>
  </r>
  <r>
    <s v="bonco19"/>
    <s v="fahiraidris"/>
    <m/>
    <m/>
    <m/>
    <m/>
    <m/>
    <m/>
    <m/>
    <m/>
    <s v="No"/>
    <n v="46"/>
    <b v="0"/>
    <m/>
    <s v="Replies to"/>
    <x v="41"/>
    <s v="@fahiraidris Aamiin..Perjuangan menegakkan demokrasi belum usai..semoga berhasil #SalamNolPersen"/>
    <n v="0"/>
    <n v="0"/>
    <n v="0"/>
    <n v="0"/>
    <m/>
    <s v="salamnolpersen"/>
    <m/>
    <m/>
    <s v="fahiraidris"/>
    <m/>
    <m/>
    <s v="Twitter for Android"/>
    <s v="in"/>
    <s v="https://twitter.com/bonco19/status/1481145623726686209"/>
    <d v="2022-01-12T06:06:49.000"/>
    <d v="2022-01-12T00:00:00.000"/>
    <s v="06:06:49"/>
    <m/>
    <m/>
    <m/>
    <m/>
    <m/>
    <m/>
    <m/>
    <m/>
    <m/>
    <m/>
    <m/>
    <m/>
    <m/>
    <s v="https://pbs.twimg.com/profile_images/1210455325553254400/hZBCLWzB_normal.jpg"/>
    <s v="1481145623726686209"/>
    <s v="1480743882191036417"/>
    <s v="68304724"/>
    <s v="1480743882191036417"/>
    <s v=""/>
    <s v=""/>
    <s v="1480743882191036417"/>
    <n v="34505885"/>
    <m/>
    <m/>
    <m/>
    <m/>
    <m/>
    <n v="3"/>
    <n v="30"/>
    <n v="0"/>
    <n v="0"/>
    <n v="0"/>
    <n v="0"/>
    <n v="7"/>
    <n v="70"/>
    <n v="10"/>
    <n v="27"/>
    <s v="6"/>
    <s v="5"/>
  </r>
  <r>
    <s v="bonco19"/>
    <s v="bonco19"/>
    <m/>
    <m/>
    <m/>
    <m/>
    <m/>
    <m/>
    <m/>
    <m/>
    <s v="No"/>
    <n v="47"/>
    <b v="0"/>
    <m/>
    <s v="Tweet"/>
    <x v="42"/>
    <s v="Berkali2 MK menolak PT 0% karna mengacu pd legal standing pasal 6a UUD 45 _x000a_pdhl yg punya hak pilih itu adalah _x000a_Rakyat bukan partai politik_x000a__x000a_Salam Nol Persen_x000a__x000a_#DprMprMati"/>
    <n v="0"/>
    <n v="1"/>
    <n v="0"/>
    <n v="0"/>
    <m/>
    <s v="dprmprmati"/>
    <m/>
    <m/>
    <m/>
    <m/>
    <m/>
    <s v="Twitter Web App"/>
    <s v="in"/>
    <s v="https://twitter.com/bonco19/status/1483427985881731075"/>
    <d v="2022-01-18T13:16:07.000"/>
    <d v="2022-01-18T00:00:00.000"/>
    <s v="13:16:07"/>
    <m/>
    <m/>
    <m/>
    <m/>
    <m/>
    <m/>
    <m/>
    <m/>
    <m/>
    <m/>
    <m/>
    <m/>
    <m/>
    <s v="https://pbs.twimg.com/profile_images/1210455325553254400/hZBCLWzB_normal.jpg"/>
    <s v="1483427985881731075"/>
    <s v="1483427985881731075"/>
    <m/>
    <s v=""/>
    <s v=""/>
    <s v=""/>
    <s v="1483427985881731075"/>
    <n v="34505885"/>
    <m/>
    <m/>
    <m/>
    <m/>
    <m/>
    <n v="4"/>
    <n v="13.793103448275861"/>
    <n v="1"/>
    <n v="3.4482758620689653"/>
    <n v="0"/>
    <n v="0"/>
    <n v="24"/>
    <n v="82.75862068965517"/>
    <n v="29"/>
    <n v="8"/>
    <s v="6"/>
    <s v="6"/>
  </r>
  <r>
    <s v="pakkumi93921831"/>
    <s v="fahiraidris"/>
    <m/>
    <m/>
    <m/>
    <m/>
    <m/>
    <m/>
    <m/>
    <m/>
    <s v="No"/>
    <n v="48"/>
    <b v="0"/>
    <m/>
    <s v="Quote"/>
    <x v="43"/>
    <s v="Keren.._x000a_Support #SalamNolpersen"/>
    <n v="0"/>
    <n v="1"/>
    <n v="0"/>
    <n v="0"/>
    <m/>
    <s v="salamnolpersen"/>
    <m/>
    <m/>
    <m/>
    <m/>
    <m/>
    <s v="Twitter for Android"/>
    <s v="en"/>
    <s v="https://twitter.com/pakkumi93921831/status/1480806916561408000"/>
    <d v="2022-01-11T07:40:55.000"/>
    <d v="2022-01-11T00:00:00.000"/>
    <s v="07:40:55"/>
    <m/>
    <m/>
    <m/>
    <m/>
    <m/>
    <m/>
    <m/>
    <m/>
    <m/>
    <m/>
    <m/>
    <m/>
    <m/>
    <s v="https://pbs.twimg.com/profile_images/1335250083495911424/nQPnANJj_normal.jpg"/>
    <s v="1480806916561408000"/>
    <s v="1480806916561408000"/>
    <m/>
    <s v=""/>
    <s v="1480755415759527938"/>
    <s v=""/>
    <s v="1480755415759527938"/>
    <s v="1201876643914174464"/>
    <m/>
    <m/>
    <m/>
    <m/>
    <m/>
    <n v="2"/>
    <n v="66.66666666666667"/>
    <n v="0"/>
    <n v="0"/>
    <n v="0"/>
    <n v="0"/>
    <n v="1"/>
    <n v="33.333333333333336"/>
    <n v="3"/>
    <n v="1"/>
    <s v="5"/>
    <s v="5"/>
  </r>
  <r>
    <s v="kurnia_awan85"/>
    <s v="mohmahfudmd"/>
    <m/>
    <m/>
    <m/>
    <m/>
    <m/>
    <m/>
    <m/>
    <m/>
    <s v="No"/>
    <n v="49"/>
    <b v="0"/>
    <m/>
    <s v="MentionsInReplyTo"/>
    <x v="44"/>
    <s v="@msaid_didu @mohmahfudmd hny ngomong saja tnp solusi,mngknya kita ingin pemimpin yg akan datang benar2 tdk masuk dlm lingkaran setan mafia Hukum dan mafia ekonomi_x000a_#SalamNolPersen thershold"/>
    <n v="0"/>
    <n v="1"/>
    <n v="0"/>
    <n v="0"/>
    <m/>
    <s v="salamnolpersen"/>
    <m/>
    <m/>
    <s v="msaid_didu mohmahfudmd"/>
    <m/>
    <m/>
    <s v="Twitter for Android"/>
    <s v="in"/>
    <s v="https://twitter.com/kurnia_awan85/status/1559173157486940160"/>
    <d v="2022-08-15T13:40:23.000"/>
    <d v="2022-08-15T00:00:00.000"/>
    <s v="13:40:23"/>
    <m/>
    <m/>
    <m/>
    <m/>
    <m/>
    <m/>
    <m/>
    <m/>
    <m/>
    <m/>
    <m/>
    <m/>
    <m/>
    <s v="https://pbs.twimg.com/profile_images/863710851441623042/rD9NF2It_normal.jpg"/>
    <s v="1559173157486940160"/>
    <s v="1558998217710116864"/>
    <s v="1117990249806721024"/>
    <s v="1558998217710116864"/>
    <s v=""/>
    <s v=""/>
    <s v="1558998217710116864"/>
    <s v="834101829793230848"/>
    <m/>
    <m/>
    <m/>
    <m/>
    <m/>
    <n v="2"/>
    <n v="7.407407407407407"/>
    <n v="2"/>
    <n v="7.407407407407407"/>
    <n v="0"/>
    <n v="0"/>
    <n v="23"/>
    <n v="85.18518518518519"/>
    <n v="27"/>
    <n v="1"/>
    <s v="7"/>
    <s v="7"/>
  </r>
  <r>
    <s v="salamdaivaj"/>
    <s v="salamdaivaj"/>
    <m/>
    <m/>
    <m/>
    <m/>
    <m/>
    <m/>
    <m/>
    <m/>
    <s v="No"/>
    <n v="51"/>
    <b v="0"/>
    <m/>
    <s v="Tweet"/>
    <x v="45"/>
    <s v="Ada Asa. _x000a_Salam Nol Persen. _x000a__x000a_#MurahinKebutuhanPokok_x000a_#MurahinKebutuhanPokok_x000a__x000a_&quot;Kalau sekarang ini dalam permohonan ini ada alasan baru dan itu harus dipertimbangkan oleh majelis, bisa saja mungkin ada perubahan dalam pendirian daripada Mahkamah,&quot;_x000a_https://t.co/GE6kbubWs3"/>
    <n v="1"/>
    <n v="3"/>
    <n v="0"/>
    <n v="0"/>
    <m/>
    <s v="murahinkebutuhanpokok murahinkebutuhanpokok"/>
    <s v="https://news.detik.com/berita/d-5901725/mk-buka-kemungkinan-ubah-presidential-threshold-jadi-0-persen"/>
    <s v="detik.com"/>
    <m/>
    <m/>
    <m/>
    <s v="Twitter for Android"/>
    <s v="in"/>
    <s v="https://twitter.com/salamdaivaj/status/1483214108732571650"/>
    <d v="2022-01-17T23:06:14.000"/>
    <d v="2022-01-17T00:00:00.000"/>
    <s v="23:06:14"/>
    <b v="0"/>
    <m/>
    <m/>
    <m/>
    <m/>
    <m/>
    <m/>
    <m/>
    <m/>
    <m/>
    <m/>
    <m/>
    <m/>
    <s v="https://pbs.twimg.com/profile_images/1658664385441845250/OpjE5e8S_normal.jpg"/>
    <s v="1483214108732571650"/>
    <s v="1483214108732571650"/>
    <m/>
    <s v=""/>
    <s v=""/>
    <s v=""/>
    <s v="1483214108732571650"/>
    <s v="1330144760636596228"/>
    <m/>
    <m/>
    <m/>
    <m/>
    <m/>
    <n v="5"/>
    <n v="16.129032258064516"/>
    <n v="1"/>
    <n v="3.225806451612903"/>
    <n v="0"/>
    <n v="0"/>
    <n v="25"/>
    <n v="80.64516129032258"/>
    <n v="31"/>
    <n v="1"/>
    <s v="34"/>
    <s v="34"/>
  </r>
  <r>
    <s v="salamdaivaj"/>
    <s v="lovelyb1e"/>
    <m/>
    <m/>
    <m/>
    <m/>
    <m/>
    <m/>
    <m/>
    <m/>
    <s v="No"/>
    <n v="52"/>
    <b v="0"/>
    <m/>
    <s v="Quote"/>
    <x v="46"/>
    <s v="Sebentar lagi kan menjelang😉_x000a_Salam Nol Persen👌"/>
    <n v="0"/>
    <n v="2"/>
    <n v="0"/>
    <n v="0"/>
    <m/>
    <m/>
    <m/>
    <m/>
    <m/>
    <m/>
    <m/>
    <s v="Twitter for Android"/>
    <s v="in"/>
    <s v="https://twitter.com/salamdaivaj/status/1486295718084354051"/>
    <d v="2022-01-26T11:11:27.000"/>
    <d v="2022-01-26T00:00:00.000"/>
    <s v="11:11:27"/>
    <m/>
    <m/>
    <m/>
    <m/>
    <m/>
    <m/>
    <m/>
    <m/>
    <m/>
    <m/>
    <m/>
    <m/>
    <m/>
    <s v="https://pbs.twimg.com/profile_images/1658664385441845250/OpjE5e8S_normal.jpg"/>
    <s v="1486295718084354051"/>
    <s v="1486295718084354051"/>
    <m/>
    <s v=""/>
    <s v="1486265497721372672"/>
    <s v=""/>
    <s v="1486265497721372672"/>
    <s v="1330144760636596228"/>
    <m/>
    <m/>
    <m/>
    <m/>
    <m/>
    <n v="3"/>
    <n v="42.857142857142854"/>
    <n v="0"/>
    <n v="0"/>
    <n v="0"/>
    <n v="0"/>
    <n v="4"/>
    <n v="57.142857142857146"/>
    <n v="7"/>
    <n v="1"/>
    <s v="34"/>
    <s v="34"/>
  </r>
  <r>
    <s v="harianto_zanuar"/>
    <s v="matanajwa"/>
    <m/>
    <m/>
    <m/>
    <m/>
    <m/>
    <m/>
    <m/>
    <m/>
    <s v="No"/>
    <n v="53"/>
    <b v="1"/>
    <m/>
    <s v="Replies to"/>
    <x v="47"/>
    <s v="@MataNajwa Yang Cerdas dan pinter membuat kebijakan2 yang tidak relevan buat rakyat nya dan kerja nya Cuman Untuk Membodohi Rakyat nya🙏😷_x000a_#revolusiakhlaq_x000a_#salamnolpersen"/>
    <n v="0"/>
    <n v="0"/>
    <n v="0"/>
    <n v="0"/>
    <m/>
    <s v="revolusiakhlaq salamnolpersen"/>
    <m/>
    <m/>
    <s v="matanajwa"/>
    <m/>
    <m/>
    <s v="Twitter for Android"/>
    <s v="in"/>
    <s v="https://twitter.com/harianto_zanuar/status/1575601931820576768"/>
    <d v="2022-09-29T21:42:28.000"/>
    <d v="2022-09-29T00:00:00.000"/>
    <s v="21:42:28"/>
    <m/>
    <m/>
    <m/>
    <m/>
    <m/>
    <m/>
    <m/>
    <m/>
    <m/>
    <m/>
    <m/>
    <m/>
    <m/>
    <s v="https://pbs.twimg.com/profile_images/1575596889302437889/b83mKM9D_normal.jpg"/>
    <s v="1575601931820576768"/>
    <s v="1575475636356796416"/>
    <s v="72274016"/>
    <s v="1575475636356796416"/>
    <s v=""/>
    <s v=""/>
    <s v="1575475636356796416"/>
    <s v="1542925079142551552"/>
    <m/>
    <m/>
    <m/>
    <m/>
    <m/>
    <n v="1"/>
    <n v="4.3478260869565215"/>
    <n v="0"/>
    <n v="0"/>
    <n v="0"/>
    <n v="0"/>
    <n v="22"/>
    <n v="95.65217391304348"/>
    <n v="23"/>
    <n v="1"/>
    <s v="13"/>
    <s v="13"/>
  </r>
  <r>
    <s v="harianto_zanuar"/>
    <s v="tvonenews"/>
    <m/>
    <m/>
    <m/>
    <m/>
    <m/>
    <m/>
    <m/>
    <m/>
    <s v="No"/>
    <n v="54"/>
    <b v="0"/>
    <m/>
    <s v="Replies to"/>
    <x v="48"/>
    <s v="@tvOneNews Penguasa Hukum Harus Siap Menegakkan Keadilan Bagi Para Pembunuh._x000a_#salamnolpersen"/>
    <n v="0"/>
    <n v="1"/>
    <n v="0"/>
    <n v="0"/>
    <m/>
    <s v="salamnolpersen"/>
    <m/>
    <m/>
    <s v="tvonenews"/>
    <m/>
    <m/>
    <s v="Twitter for Android"/>
    <s v="in"/>
    <s v="https://twitter.com/harianto_zanuar/status/1575600022711726080"/>
    <d v="2022-09-29T21:34:53.000"/>
    <d v="2022-09-29T00:00:00.000"/>
    <s v="21:34:53"/>
    <m/>
    <m/>
    <m/>
    <m/>
    <m/>
    <m/>
    <m/>
    <m/>
    <m/>
    <m/>
    <m/>
    <m/>
    <m/>
    <s v="https://pbs.twimg.com/profile_images/1575596889302437889/b83mKM9D_normal.jpg"/>
    <s v="1575600022711726080"/>
    <s v="1575321163118825472"/>
    <s v="55507370"/>
    <s v="1575321163118825472"/>
    <s v=""/>
    <s v=""/>
    <s v="1575321163118825472"/>
    <s v="1542925079142551552"/>
    <m/>
    <m/>
    <m/>
    <m/>
    <m/>
    <n v="2"/>
    <n v="18.181818181818183"/>
    <n v="0"/>
    <n v="0"/>
    <n v="0"/>
    <n v="0"/>
    <n v="9"/>
    <n v="81.81818181818181"/>
    <n v="11"/>
    <n v="8"/>
    <s v="13"/>
    <s v="13"/>
  </r>
  <r>
    <s v="harianto_zanuar"/>
    <s v="panca66"/>
    <m/>
    <m/>
    <m/>
    <m/>
    <m/>
    <m/>
    <m/>
    <m/>
    <s v="No"/>
    <n v="55"/>
    <b v="0"/>
    <m/>
    <s v="Replies to"/>
    <x v="49"/>
    <s v="@panca66 Ngasih nya sedikit susah nya banyak_x000a_#salamnolpersen"/>
    <n v="0"/>
    <n v="0"/>
    <n v="0"/>
    <n v="0"/>
    <m/>
    <s v="salamnolpersen"/>
    <m/>
    <m/>
    <s v="panca66"/>
    <m/>
    <m/>
    <s v="Twitter for Android"/>
    <s v="in"/>
    <s v="https://twitter.com/harianto_zanuar/status/1575606534163136512"/>
    <d v="2022-09-29T22:00:45.000"/>
    <d v="2022-09-29T00:00:00.000"/>
    <s v="22:00:45"/>
    <m/>
    <m/>
    <m/>
    <m/>
    <m/>
    <m/>
    <m/>
    <m/>
    <m/>
    <m/>
    <m/>
    <m/>
    <m/>
    <s v="https://pbs.twimg.com/profile_images/1575596889302437889/b83mKM9D_normal.jpg"/>
    <s v="1575606534163136512"/>
    <s v="1575249425320280064"/>
    <s v="82042655"/>
    <s v="1575249425320280064"/>
    <s v=""/>
    <s v=""/>
    <s v="1575249425320280064"/>
    <s v="1542925079142551552"/>
    <m/>
    <m/>
    <m/>
    <m/>
    <m/>
    <n v="0"/>
    <n v="0"/>
    <n v="1"/>
    <n v="12.5"/>
    <n v="0"/>
    <n v="0"/>
    <n v="7"/>
    <n v="87.5"/>
    <n v="8"/>
    <n v="1"/>
    <s v="13"/>
    <s v="13"/>
  </r>
  <r>
    <s v="fachniadin"/>
    <s v="1keadilan"/>
    <m/>
    <m/>
    <m/>
    <m/>
    <m/>
    <m/>
    <m/>
    <m/>
    <s v="No"/>
    <n v="56"/>
    <b v="0"/>
    <m/>
    <s v="Replies to"/>
    <x v="50"/>
    <s v="@1keadilan Salam nol persen bang. Maksudnya suara partai lu di pemilu ntar hehe"/>
    <n v="0"/>
    <n v="0"/>
    <n v="0"/>
    <n v="0"/>
    <m/>
    <m/>
    <m/>
    <m/>
    <s v="1keadilan"/>
    <m/>
    <m/>
    <s v="Twitter for Android"/>
    <s v="in"/>
    <s v="https://twitter.com/fachniadin/status/1480526440458117127"/>
    <d v="2022-01-10T13:06:24.000"/>
    <d v="2022-01-10T00:00:00.000"/>
    <s v="13:06:24"/>
    <m/>
    <m/>
    <m/>
    <m/>
    <m/>
    <m/>
    <m/>
    <m/>
    <m/>
    <m/>
    <m/>
    <m/>
    <m/>
    <s v="https://pbs.twimg.com/profile_images/1470910063833325571/6cmTQS5x_normal.jpg"/>
    <s v="1480526440458117127"/>
    <s v="1480513632668565505"/>
    <s v="960555528387620864"/>
    <s v="1480513632668565505"/>
    <s v=""/>
    <s v=""/>
    <s v="1480513632668565505"/>
    <s v="1122521081489657857"/>
    <m/>
    <m/>
    <m/>
    <m/>
    <m/>
    <n v="3"/>
    <n v="23.076923076923077"/>
    <n v="0"/>
    <n v="0"/>
    <n v="0"/>
    <n v="0"/>
    <n v="10"/>
    <n v="76.92307692307692"/>
    <n v="13"/>
    <n v="1"/>
    <s v="8"/>
    <s v="8"/>
  </r>
  <r>
    <s v="fachniadin"/>
    <s v="helmifelis_"/>
    <m/>
    <m/>
    <m/>
    <m/>
    <m/>
    <m/>
    <m/>
    <m/>
    <s v="No"/>
    <n v="57"/>
    <b v="0"/>
    <m/>
    <s v="Replies to"/>
    <x v="51"/>
    <s v="@Helmi_Felis @AlloEfrat Trus lu ngerasa sukses gitu jadi humas partai gurem? Susah amat sih menghargai kepercayaan orang laen, kaya lu udah pasti masuk surga aja. Sampah pecundang politik ya kaya lu ini. Seumur idup cuma bisa ngamuk2. Salam nol koma nol nol persen"/>
    <n v="0"/>
    <n v="0"/>
    <n v="0"/>
    <n v="0"/>
    <m/>
    <m/>
    <m/>
    <m/>
    <s v="helmi_felis alloefrat"/>
    <m/>
    <m/>
    <s v="Twitter for Android"/>
    <s v="in"/>
    <s v="https://twitter.com/fachniadin/status/1480491802117345282"/>
    <d v="2022-01-10T10:48:46.000"/>
    <d v="2022-01-10T00:00:00.000"/>
    <s v="10:48:46"/>
    <m/>
    <m/>
    <m/>
    <m/>
    <m/>
    <m/>
    <m/>
    <m/>
    <m/>
    <m/>
    <m/>
    <m/>
    <m/>
    <s v="https://pbs.twimg.com/profile_images/1470910063833325571/6cmTQS5x_normal.jpg"/>
    <s v="1480491802117345282"/>
    <s v="1480441878424154115"/>
    <s v="3177957847"/>
    <s v="1480466966720618498"/>
    <s v=""/>
    <s v=""/>
    <s v="1480466966720618498"/>
    <s v="1122521081489657857"/>
    <m/>
    <m/>
    <m/>
    <m/>
    <m/>
    <n v="10"/>
    <n v="23.25581395348837"/>
    <n v="2"/>
    <n v="4.651162790697675"/>
    <n v="0"/>
    <n v="0"/>
    <n v="31"/>
    <n v="72.09302325581395"/>
    <n v="43"/>
    <n v="1"/>
    <s v="8"/>
    <s v="8"/>
  </r>
  <r>
    <s v="fachniadin"/>
    <s v="ummat_kotadepok"/>
    <m/>
    <m/>
    <m/>
    <m/>
    <m/>
    <m/>
    <m/>
    <m/>
    <s v="No"/>
    <n v="58"/>
    <b v="1"/>
    <m/>
    <s v="MentionsInReplyTo"/>
    <x v="52"/>
    <s v="@hendri78chniago @Amien__Rais @RidhoRahmadi85 @TofaTofa_id @Buniyani1 @MSKaban3 @DPPGardaummat @DPP_PartaiUmmat @DjudjuP @Ummat_DIY @Ummat_KotaDepok Oh merdeka dari 1% ya om? Salam nol koma nol nol nol sekian persen!!! https://t.co/Wz1JpR9Fcl"/>
    <n v="0"/>
    <n v="0"/>
    <n v="0"/>
    <n v="0"/>
    <m/>
    <m/>
    <m/>
    <m/>
    <s v="hendri78chniago amien__rais ridhorahmadi85 tofatofa_id buniyani1 mskaban3 dppgardaummat dpp_partaiummat ummat_diy ummat_kotadepok"/>
    <s v="https://t.co/Wz1JpR9Fcl https://pbs.twimg.com/media/FI8dudsaQAINFvL.jpg"/>
    <s v="photo"/>
    <s v="Twitter for Android"/>
    <s v="in"/>
    <s v="https://twitter.com/fachniadin/status/1481435495096012800"/>
    <d v="2022-01-13T01:18:40.000"/>
    <d v="2022-01-13T00:00:00.000"/>
    <s v="01:18:40"/>
    <b v="0"/>
    <m/>
    <m/>
    <m/>
    <m/>
    <m/>
    <m/>
    <m/>
    <s v="3_1481435486510268418"/>
    <m/>
    <m/>
    <m/>
    <m/>
    <s v="https://pbs.twimg.com/media/FI8dudsaQAINFvL.jpg"/>
    <s v="1481435495096012800"/>
    <s v="1481204770233008130"/>
    <s v="784904716509589504"/>
    <s v="1481204770233008130"/>
    <s v=""/>
    <s v=""/>
    <s v="1481204770233008130"/>
    <s v="1122521081489657857"/>
    <m/>
    <m/>
    <m/>
    <m/>
    <m/>
    <m/>
    <m/>
    <m/>
    <m/>
    <m/>
    <m/>
    <m/>
    <m/>
    <m/>
    <n v="1"/>
    <s v="8"/>
    <s v="8"/>
  </r>
  <r>
    <s v="fachniadin"/>
    <s v="hendri78chniago"/>
    <m/>
    <m/>
    <m/>
    <m/>
    <m/>
    <m/>
    <m/>
    <m/>
    <s v="No"/>
    <n v="65"/>
    <b v="0"/>
    <m/>
    <s v="Replies to"/>
    <x v="53"/>
    <s v="@hendri78chniago Salam nol persen suara partai lu ya? Bener banget hahahaha https://t.co/celAzCtG0u"/>
    <n v="0"/>
    <n v="0"/>
    <n v="0"/>
    <n v="0"/>
    <m/>
    <m/>
    <m/>
    <m/>
    <s v="hendri78chniago"/>
    <s v="https://t.co/celAzCtG0u https://pbs.twimg.com/media/FIUTYIXVEAAsCfu.jpg"/>
    <s v="photo"/>
    <s v="Twitter for Android"/>
    <s v="in"/>
    <s v="https://twitter.com/fachniadin/status/1478609366001405954"/>
    <d v="2022-01-05T06:08:38.000"/>
    <d v="2022-01-05T00:00:00.000"/>
    <s v="06:08:38"/>
    <b v="0"/>
    <m/>
    <m/>
    <m/>
    <m/>
    <m/>
    <m/>
    <m/>
    <s v="3_1478609357944197120"/>
    <m/>
    <m/>
    <m/>
    <m/>
    <s v="https://pbs.twimg.com/media/FIUTYIXVEAAsCfu.jpg"/>
    <s v="1478609366001405954"/>
    <s v="1478138909804535808"/>
    <s v="784904716509589504"/>
    <s v="1478138909804535808"/>
    <s v=""/>
    <s v=""/>
    <s v="1478138909804535808"/>
    <s v="1122521081489657857"/>
    <m/>
    <m/>
    <m/>
    <m/>
    <m/>
    <n v="4"/>
    <n v="36.36363636363637"/>
    <n v="0"/>
    <n v="0"/>
    <n v="0"/>
    <n v="0"/>
    <n v="7"/>
    <n v="63.63636363636363"/>
    <n v="11"/>
    <n v="8"/>
    <s v="8"/>
    <s v="8"/>
  </r>
  <r>
    <s v="umiyati70812108"/>
    <s v="reflyhz"/>
    <m/>
    <m/>
    <m/>
    <m/>
    <m/>
    <m/>
    <m/>
    <m/>
    <s v="No"/>
    <n v="66"/>
    <b v="1"/>
    <m/>
    <s v="Replies to"/>
    <x v="54"/>
    <s v="@ReflyHZ #SalamNolPersen"/>
    <n v="0"/>
    <n v="0"/>
    <n v="0"/>
    <n v="0"/>
    <m/>
    <s v="salamnolpersen"/>
    <m/>
    <m/>
    <s v="reflyhz"/>
    <m/>
    <m/>
    <s v="Twitter for Android"/>
    <s v="qme"/>
    <s v="https://twitter.com/umiyati70812108/status/1479272896304353283"/>
    <d v="2022-01-07T02:05:16.000"/>
    <d v="2022-01-07T00:00:00.000"/>
    <s v="02:05:16"/>
    <m/>
    <m/>
    <m/>
    <m/>
    <m/>
    <m/>
    <m/>
    <m/>
    <m/>
    <m/>
    <m/>
    <m/>
    <m/>
    <s v="https://abs.twimg.com/sticky/default_profile_images/default_profile_normal.png"/>
    <s v="1479272896304353283"/>
    <s v="1479042455064350721"/>
    <s v="185116088"/>
    <s v="1479042455064350721"/>
    <s v=""/>
    <s v=""/>
    <s v="1479042455064350721"/>
    <s v="1429084019803652100"/>
    <m/>
    <m/>
    <m/>
    <m/>
    <m/>
    <n v="0"/>
    <n v="0"/>
    <n v="0"/>
    <n v="0"/>
    <n v="0"/>
    <n v="0"/>
    <n v="2"/>
    <n v="100"/>
    <n v="2"/>
    <n v="1"/>
    <s v="9"/>
    <s v="9"/>
  </r>
  <r>
    <s v="ferden62480561"/>
    <s v="oposisicerdas"/>
    <m/>
    <m/>
    <m/>
    <m/>
    <m/>
    <m/>
    <m/>
    <m/>
    <s v="No"/>
    <n v="67"/>
    <b v="0"/>
    <m/>
    <s v="Replies to"/>
    <x v="55"/>
    <s v="@OposisiCerdas Insya Allah ini dikabulkan,_x000a_Salam Bulan Bintang,_x000a_Salam Nol Persen 👌👌"/>
    <n v="0"/>
    <n v="0"/>
    <n v="0"/>
    <n v="0"/>
    <m/>
    <m/>
    <m/>
    <m/>
    <s v="oposisicerdas"/>
    <m/>
    <m/>
    <s v="Twitter for Android"/>
    <s v="in"/>
    <s v="https://twitter.com/ferden62480561/status/1507992201711607813"/>
    <d v="2022-03-27T08:05:32.000"/>
    <d v="2022-03-27T00:00:00.000"/>
    <s v="08:05:32"/>
    <m/>
    <m/>
    <m/>
    <m/>
    <m/>
    <m/>
    <m/>
    <m/>
    <m/>
    <m/>
    <m/>
    <m/>
    <m/>
    <s v="https://pbs.twimg.com/profile_images/1370343220643651589/ZMEKjwW__normal.jpg"/>
    <s v="1507992201711607813"/>
    <s v="1507715427803471876"/>
    <s v="887743587579944960"/>
    <s v="1507715427803471876"/>
    <s v=""/>
    <s v=""/>
    <s v="1507715427803471876"/>
    <s v="1370342966988922881"/>
    <m/>
    <m/>
    <m/>
    <m/>
    <m/>
    <n v="4"/>
    <n v="36.36363636363637"/>
    <n v="0"/>
    <n v="0"/>
    <n v="0"/>
    <n v="0"/>
    <n v="7"/>
    <n v="63.63636363636363"/>
    <n v="11"/>
    <n v="1"/>
    <s v="10"/>
    <s v="10"/>
  </r>
  <r>
    <s v="elqtlqcri7fd9ng"/>
    <s v="reflyhz"/>
    <m/>
    <m/>
    <m/>
    <m/>
    <m/>
    <m/>
    <m/>
    <m/>
    <s v="No"/>
    <n v="68"/>
    <b v="0"/>
    <m/>
    <s v="Replies to"/>
    <x v="56"/>
    <s v="@ReflyHZ Salam nol persen _x000a_Semoga bang RH sehat selalu"/>
    <n v="0"/>
    <n v="0"/>
    <n v="0"/>
    <n v="0"/>
    <m/>
    <m/>
    <m/>
    <m/>
    <s v="reflyhz"/>
    <m/>
    <m/>
    <s v="Twitter for Android"/>
    <s v="in"/>
    <s v="https://twitter.com/elqtlqcri7fd9ng/status/1483336718841712647"/>
    <d v="2022-01-18T07:13:27.000"/>
    <d v="2022-01-18T00:00:00.000"/>
    <s v="07:13:27"/>
    <m/>
    <m/>
    <m/>
    <m/>
    <m/>
    <m/>
    <m/>
    <m/>
    <m/>
    <m/>
    <m/>
    <m/>
    <m/>
    <s v="https://pbs.twimg.com/profile_images/1528581114696126464/ncbask8T_normal.jpg"/>
    <s v="1483336718841712647"/>
    <s v="1479042455064350721"/>
    <s v="185116088"/>
    <s v="1479042455064350721"/>
    <s v=""/>
    <s v=""/>
    <s v="1479042455064350721"/>
    <s v="710270182598512641"/>
    <m/>
    <m/>
    <m/>
    <m/>
    <m/>
    <n v="5"/>
    <n v="55.55555555555556"/>
    <n v="0"/>
    <n v="0"/>
    <n v="0"/>
    <n v="0"/>
    <n v="4"/>
    <n v="44.44444444444444"/>
    <n v="9"/>
    <n v="1"/>
    <s v="9"/>
    <s v="9"/>
  </r>
  <r>
    <s v="nurhanip3"/>
    <s v="ruhutsitompul"/>
    <m/>
    <m/>
    <m/>
    <m/>
    <m/>
    <m/>
    <m/>
    <m/>
    <s v="No"/>
    <n v="69"/>
    <b v="1"/>
    <m/>
    <s v="MentionsInReplyTo"/>
    <x v="57"/>
    <s v="@MegaPKeliduan @DivHumas_Polri @ruhutsitompul Mantap!!_x000a_Biar dia orang gak sembarangan kalo mangap. Bravo akal sehat dan Salam nol persen!!"/>
    <n v="0"/>
    <n v="0"/>
    <n v="0"/>
    <n v="0"/>
    <m/>
    <m/>
    <m/>
    <m/>
    <s v="megapkeliduan divhumas_polri ruhutsitompul"/>
    <m/>
    <m/>
    <s v="Twitter for Android"/>
    <s v="in"/>
    <s v="https://twitter.com/nurhanip3/status/1526387858365374466"/>
    <d v="2022-05-17T02:23:19.000"/>
    <d v="2022-05-17T00:00:00.000"/>
    <s v="02:23:19"/>
    <m/>
    <m/>
    <m/>
    <m/>
    <m/>
    <m/>
    <m/>
    <m/>
    <m/>
    <m/>
    <m/>
    <m/>
    <m/>
    <s v="https://pbs.twimg.com/profile_images/1484983158676275206/Gob5FqRq_normal.jpg"/>
    <s v="1526387858365374466"/>
    <s v="1526082771663196160"/>
    <s v="1524640649739259906"/>
    <s v="1526082771663196160"/>
    <s v=""/>
    <s v=""/>
    <s v="1526082771663196160"/>
    <s v="1394715956971286529"/>
    <m/>
    <m/>
    <m/>
    <m/>
    <m/>
    <m/>
    <m/>
    <m/>
    <m/>
    <m/>
    <m/>
    <m/>
    <m/>
    <m/>
    <n v="1"/>
    <s v="15"/>
    <s v="15"/>
  </r>
  <r>
    <s v="muhamma53050021"/>
    <s v="reflyhz"/>
    <m/>
    <m/>
    <m/>
    <m/>
    <m/>
    <m/>
    <m/>
    <m/>
    <s v="No"/>
    <n v="72"/>
    <b v="1"/>
    <m/>
    <s v="Replies to"/>
    <x v="58"/>
    <s v="@ReflyHZ #SALAMNOLPERSEN"/>
    <n v="0"/>
    <n v="0"/>
    <n v="0"/>
    <n v="0"/>
    <m/>
    <s v="salamnolpersen"/>
    <m/>
    <m/>
    <s v="reflyhz"/>
    <m/>
    <m/>
    <s v="Twitter for Android"/>
    <s v="qme"/>
    <s v="https://twitter.com/muhamma53050021/status/1481653100662620164"/>
    <d v="2022-01-13T15:43:21.000"/>
    <d v="2022-01-13T00:00:00.000"/>
    <s v="15:43:21"/>
    <m/>
    <m/>
    <m/>
    <m/>
    <m/>
    <m/>
    <m/>
    <m/>
    <m/>
    <m/>
    <m/>
    <m/>
    <m/>
    <s v="https://pbs.twimg.com/profile_images/1481051164146028546/BAtu7XbG_normal.jpg"/>
    <s v="1481653100662620164"/>
    <s v="1479042455064350721"/>
    <s v="185116088"/>
    <s v="1479042455064350721"/>
    <s v=""/>
    <s v=""/>
    <s v="1479042455064350721"/>
    <s v="1477676863283609603"/>
    <m/>
    <m/>
    <m/>
    <m/>
    <m/>
    <n v="0"/>
    <n v="0"/>
    <n v="0"/>
    <n v="0"/>
    <n v="0"/>
    <n v="0"/>
    <n v="2"/>
    <n v="100"/>
    <n v="2"/>
    <n v="1"/>
    <s v="9"/>
    <s v="9"/>
  </r>
  <r>
    <s v="caryantoawuy"/>
    <s v="ganjarpranowo"/>
    <m/>
    <m/>
    <m/>
    <m/>
    <m/>
    <m/>
    <m/>
    <m/>
    <s v="No"/>
    <n v="73"/>
    <b v="1"/>
    <m/>
    <s v="MentionsInReplyTo"/>
    <x v="59"/>
    <s v="@__RismaWidiono_ @ganjarpranowo Salam kenal sebelumnya kakak Risma, ini bukti kerja nyata buat warganya dari seorang gubernur yang rendah hati mau membantu masyarakyat untuk mendapatkan hunian yang layak, tanpa embel embel nol persen terbukti bisa terlaksana pembangunannya._x000a_#SahabatGanjar"/>
    <n v="1"/>
    <n v="1"/>
    <n v="0"/>
    <n v="0"/>
    <m/>
    <s v="sahabatganjar"/>
    <m/>
    <m/>
    <s v="__rismawidiono_ ganjarpranowo"/>
    <m/>
    <m/>
    <s v="Twitter for Android"/>
    <s v="in"/>
    <s v="https://twitter.com/caryantoawuy/status/1550410426869252096"/>
    <d v="2022-07-22T09:20:25.000"/>
    <d v="2022-07-22T00:00:00.000"/>
    <s v="09:20:25"/>
    <m/>
    <m/>
    <m/>
    <m/>
    <m/>
    <m/>
    <m/>
    <m/>
    <m/>
    <m/>
    <m/>
    <m/>
    <m/>
    <s v="https://pbs.twimg.com/profile_images/1687189182698115073/2W-0pLkc_normal.jpg"/>
    <s v="1550410426869252096"/>
    <s v="1550407706028421121"/>
    <s v="940486643546386432"/>
    <s v="1550407706028421121"/>
    <s v=""/>
    <s v=""/>
    <s v="1550407706028421121"/>
    <s v="1454608993456775171"/>
    <m/>
    <m/>
    <m/>
    <m/>
    <m/>
    <m/>
    <m/>
    <m/>
    <m/>
    <m/>
    <m/>
    <m/>
    <m/>
    <m/>
    <n v="1"/>
    <s v="19"/>
    <s v="19"/>
  </r>
  <r>
    <s v="johnblack03"/>
    <s v="ramlirizal"/>
    <m/>
    <m/>
    <m/>
    <m/>
    <m/>
    <m/>
    <m/>
    <m/>
    <s v="No"/>
    <n v="75"/>
    <b v="1"/>
    <m/>
    <s v="MentionsInReplyTo"/>
    <x v="60"/>
    <s v="@bima_____ @RamliRizal jokwi di prcy?🤣 _x000a__x000a_salam nol persen 😎👌"/>
    <n v="0"/>
    <n v="0"/>
    <n v="0"/>
    <n v="0"/>
    <m/>
    <m/>
    <m/>
    <m/>
    <s v="bima_____ ramlirizal"/>
    <m/>
    <m/>
    <s v="Twitter for Android"/>
    <s v="in"/>
    <s v="https://twitter.com/johnblack03/status/1484285353955831812"/>
    <d v="2022-01-20T22:02:59.000"/>
    <d v="2022-01-20T00:00:00.000"/>
    <s v="22:02:59"/>
    <m/>
    <m/>
    <m/>
    <m/>
    <m/>
    <m/>
    <m/>
    <m/>
    <m/>
    <m/>
    <m/>
    <m/>
    <m/>
    <s v="https://pbs.twimg.com/profile_images/1365473690046124041/zFu76XSd_normal.jpg"/>
    <s v="1484285353955831812"/>
    <s v="1484134929353314309"/>
    <s v="4882851732"/>
    <s v="1484134929353314309"/>
    <s v=""/>
    <s v=""/>
    <s v="1484134929353314309"/>
    <s v="1278970986239610880"/>
    <m/>
    <m/>
    <m/>
    <m/>
    <m/>
    <m/>
    <m/>
    <m/>
    <m/>
    <m/>
    <m/>
    <m/>
    <m/>
    <m/>
    <n v="1"/>
    <s v="6"/>
    <s v="6"/>
  </r>
  <r>
    <s v="fear37030"/>
    <s v="democrazymedia"/>
    <m/>
    <m/>
    <m/>
    <m/>
    <m/>
    <m/>
    <m/>
    <m/>
    <s v="No"/>
    <n v="77"/>
    <b v="0"/>
    <m/>
    <s v="Replies to"/>
    <x v="61"/>
    <s v="@democrazymedia tidak Terkejut ketika kader PDIP korup ?_x000a_ajaib sekali partai ini, pantas BUBAR, salam nol persen presidential treshold !!!"/>
    <n v="0"/>
    <n v="0"/>
    <n v="0"/>
    <n v="0"/>
    <m/>
    <m/>
    <m/>
    <m/>
    <s v="democrazymedia"/>
    <m/>
    <m/>
    <s v="Twitter Web App"/>
    <s v="in"/>
    <s v="https://twitter.com/fear37030/status/1470297301377695746"/>
    <d v="2021-12-13T07:39:28.000"/>
    <d v="2021-12-13T00:00:00.000"/>
    <s v="07:39:28"/>
    <m/>
    <m/>
    <m/>
    <m/>
    <m/>
    <m/>
    <m/>
    <m/>
    <m/>
    <m/>
    <m/>
    <m/>
    <m/>
    <s v="https://pbs.twimg.com/profile_images/1317005572693135360/Yuc7YV6w_normal.jpg"/>
    <s v="1470297301377695746"/>
    <s v="1470253395801870339"/>
    <s v="1243804423001763841"/>
    <s v="1470253395801870339"/>
    <s v=""/>
    <s v=""/>
    <s v="1470253395801870339"/>
    <n v="73938469"/>
    <m/>
    <m/>
    <m/>
    <m/>
    <m/>
    <n v="3"/>
    <n v="16.666666666666668"/>
    <n v="1"/>
    <n v="5.555555555555555"/>
    <n v="0"/>
    <n v="0"/>
    <n v="14"/>
    <n v="77.77777777777777"/>
    <n v="18"/>
    <n v="1"/>
    <s v="2"/>
    <s v="2"/>
  </r>
  <r>
    <s v="fear37030"/>
    <s v="oposisicerdas"/>
    <m/>
    <m/>
    <m/>
    <m/>
    <m/>
    <m/>
    <m/>
    <m/>
    <s v="No"/>
    <n v="78"/>
    <b v="1"/>
    <m/>
    <s v="Quote"/>
    <x v="62"/>
    <s v="Kali ini bilang COCOK jd gubernur, lah tiap hr anda skeptis apatis autis klitoris, terlihat kepanikan partai anda yg tdk pny calon secemerlang gub. DKI yg tdk jualan wajah lwt baliHOO_x000a_😄 😄 #JokowiGagal_x000a_#JendralBalihoAntiUlama_x000a_#TangkapFerdinand_x000a_#presiden_x000a_#salamnolpersen"/>
    <n v="1"/>
    <n v="1"/>
    <n v="0"/>
    <n v="0"/>
    <m/>
    <s v="jokowigagal jendralbalihoantiulama tangkapferdinand presiden salamnolpersen"/>
    <m/>
    <m/>
    <m/>
    <m/>
    <m/>
    <s v="Twitter for Android"/>
    <s v="in"/>
    <s v="https://twitter.com/fear37030/status/1478634290745278466"/>
    <d v="2022-01-05T07:47:41.000"/>
    <d v="2022-01-05T00:00:00.000"/>
    <s v="07:47:41"/>
    <m/>
    <m/>
    <m/>
    <m/>
    <m/>
    <m/>
    <m/>
    <m/>
    <m/>
    <m/>
    <m/>
    <m/>
    <m/>
    <s v="https://pbs.twimg.com/profile_images/1317005572693135360/Yuc7YV6w_normal.jpg"/>
    <s v="1478634290745278466"/>
    <s v="1478634290745278466"/>
    <m/>
    <s v=""/>
    <s v="1478374766163726337"/>
    <s v=""/>
    <s v="1478374766163726337"/>
    <n v="73938469"/>
    <m/>
    <m/>
    <m/>
    <m/>
    <m/>
    <n v="0"/>
    <n v="0"/>
    <n v="0"/>
    <n v="0"/>
    <n v="0"/>
    <n v="0"/>
    <n v="36"/>
    <n v="100"/>
    <n v="36"/>
    <n v="1"/>
    <s v="2"/>
    <s v="10"/>
  </r>
  <r>
    <s v="fear37030"/>
    <s v="fear37030"/>
    <m/>
    <m/>
    <m/>
    <m/>
    <m/>
    <m/>
    <m/>
    <m/>
    <s v="No"/>
    <n v="79"/>
    <b v="0"/>
    <m/>
    <s v="Tweet"/>
    <x v="63"/>
    <s v="Inilah tagarnya akun ternak jokowi_x000a_BuzzeRp_x000a_BuzzeRp_x000a_BuzzeRp_x000a_Jd lupa kan siapa yg teror pala anjing?_x000a_Lupa kasus km50?_x000a_Tetap fokus_x000a_Salam nol persen_x000a_😄 😄 😄_x000a_Titip tagar BLOON kecebong _x000a_#BebaskanFerdinand"/>
    <n v="0"/>
    <n v="0"/>
    <n v="0"/>
    <n v="0"/>
    <m/>
    <s v="bebaskanferdinand"/>
    <m/>
    <m/>
    <m/>
    <m/>
    <m/>
    <s v="Twitter for Android"/>
    <s v="in"/>
    <s v="https://twitter.com/fear37030/status/1480630493808758784"/>
    <d v="2022-01-10T19:59:53.000"/>
    <d v="2022-01-10T00:00:00.000"/>
    <s v="19:59:53"/>
    <m/>
    <m/>
    <m/>
    <m/>
    <m/>
    <m/>
    <m/>
    <m/>
    <m/>
    <m/>
    <m/>
    <m/>
    <m/>
    <s v="https://pbs.twimg.com/profile_images/1317005572693135360/Yuc7YV6w_normal.jpg"/>
    <s v="1480630493808758784"/>
    <s v="1480630493808758784"/>
    <m/>
    <s v=""/>
    <s v=""/>
    <s v=""/>
    <s v="1480630493808758784"/>
    <n v="73938469"/>
    <m/>
    <m/>
    <m/>
    <m/>
    <m/>
    <n v="3"/>
    <n v="10.344827586206897"/>
    <n v="3"/>
    <n v="10.344827586206897"/>
    <n v="0"/>
    <n v="0"/>
    <n v="23"/>
    <n v="79.3103448275862"/>
    <n v="29"/>
    <n v="8"/>
    <s v="2"/>
    <s v="2"/>
  </r>
  <r>
    <s v="ardchun"/>
    <s v="sonyareksby"/>
    <m/>
    <m/>
    <m/>
    <m/>
    <m/>
    <m/>
    <m/>
    <m/>
    <s v="No"/>
    <n v="80"/>
    <b v="0"/>
    <m/>
    <s v="MentionsInReplyTo"/>
    <x v="64"/>
    <s v="@maspiyuaja @SonyArekSby SALAM NOL PERSEN"/>
    <n v="0"/>
    <n v="0"/>
    <n v="0"/>
    <n v="0"/>
    <m/>
    <m/>
    <m/>
    <m/>
    <s v="maspiyuaja sonyareksby"/>
    <m/>
    <m/>
    <s v="Twitter for Android"/>
    <s v="in"/>
    <s v="https://twitter.com/ardchun/status/1478519183000289281"/>
    <d v="2022-01-05T00:10:17.000"/>
    <d v="2022-01-05T00:00:00.000"/>
    <s v="00:10:17"/>
    <m/>
    <m/>
    <m/>
    <m/>
    <m/>
    <m/>
    <m/>
    <m/>
    <m/>
    <m/>
    <m/>
    <m/>
    <m/>
    <s v="https://pbs.twimg.com/profile_images/1375206509416615937/HTd9lUJP_normal.jpg"/>
    <s v="1478519183000289281"/>
    <s v="1477807299703963650"/>
    <s v="1350872548620201985"/>
    <s v="1477807299703963650"/>
    <s v=""/>
    <s v=""/>
    <s v="1477807299703963650"/>
    <s v="1335463599012122626"/>
    <m/>
    <m/>
    <m/>
    <m/>
    <m/>
    <n v="3"/>
    <n v="60"/>
    <n v="0"/>
    <n v="0"/>
    <n v="0"/>
    <n v="0"/>
    <n v="2"/>
    <n v="40"/>
    <n v="5"/>
    <n v="1"/>
    <s v="6"/>
    <s v="6"/>
  </r>
  <r>
    <s v="ardchun"/>
    <s v="bima_____"/>
    <m/>
    <m/>
    <m/>
    <m/>
    <m/>
    <m/>
    <m/>
    <m/>
    <s v="No"/>
    <n v="81"/>
    <b v="0"/>
    <m/>
    <s v="Replies to"/>
    <x v="65"/>
    <s v="@bima_____ @RamliRizal Salam Nol Persen...@ReflyHZ , dukung penuh"/>
    <n v="0"/>
    <n v="1"/>
    <n v="0"/>
    <n v="0"/>
    <m/>
    <m/>
    <m/>
    <m/>
    <s v="bima_____ ramlirizal reflyhz"/>
    <m/>
    <m/>
    <s v="Twitter for Android"/>
    <s v="in"/>
    <s v="https://twitter.com/ardchun/status/1468255040905170951"/>
    <d v="2021-12-07T16:24:15.000"/>
    <d v="2021-12-07T00:00:00.000"/>
    <s v="16:24:15"/>
    <m/>
    <m/>
    <m/>
    <m/>
    <m/>
    <m/>
    <m/>
    <m/>
    <m/>
    <m/>
    <m/>
    <m/>
    <m/>
    <s v="https://pbs.twimg.com/profile_images/1375206509416615937/HTd9lUJP_normal.jpg"/>
    <s v="1468255040905170951"/>
    <s v="1468182240215527431"/>
    <s v="4882851732"/>
    <s v="1468182240215527431"/>
    <s v=""/>
    <s v=""/>
    <s v="1468182240215527431"/>
    <s v="1335463599012122626"/>
    <m/>
    <m/>
    <m/>
    <m/>
    <m/>
    <n v="4"/>
    <n v="50"/>
    <n v="0"/>
    <n v="0"/>
    <n v="0"/>
    <n v="0"/>
    <n v="4"/>
    <n v="50"/>
    <n v="8"/>
    <n v="1"/>
    <s v="6"/>
    <s v="6"/>
  </r>
  <r>
    <s v="ardchun"/>
    <s v="ramlirizal"/>
    <m/>
    <m/>
    <m/>
    <m/>
    <m/>
    <m/>
    <m/>
    <m/>
    <s v="No"/>
    <n v="82"/>
    <b v="0"/>
    <m/>
    <s v="Quote"/>
    <x v="66"/>
    <s v="Salam Nol Persen"/>
    <n v="0"/>
    <n v="0"/>
    <n v="0"/>
    <n v="0"/>
    <m/>
    <m/>
    <m/>
    <m/>
    <m/>
    <m/>
    <m/>
    <s v="Twitter for Android"/>
    <s v="in"/>
    <s v="https://twitter.com/ardchun/status/1470729734019448833"/>
    <d v="2021-12-14T12:17:48.000"/>
    <d v="2021-12-14T00:00:00.000"/>
    <s v="12:17:48"/>
    <m/>
    <m/>
    <m/>
    <m/>
    <m/>
    <m/>
    <m/>
    <m/>
    <m/>
    <m/>
    <m/>
    <m/>
    <m/>
    <s v="https://pbs.twimg.com/profile_images/1375206509416615937/HTd9lUJP_normal.jpg"/>
    <s v="1470729734019448833"/>
    <s v="1470729734019448833"/>
    <m/>
    <s v=""/>
    <s v="1470031926467592195"/>
    <s v=""/>
    <s v="1470031926467592195"/>
    <s v="1335463599012122626"/>
    <m/>
    <m/>
    <m/>
    <m/>
    <m/>
    <n v="3"/>
    <n v="100"/>
    <n v="0"/>
    <n v="0"/>
    <n v="0"/>
    <n v="0"/>
    <n v="0"/>
    <n v="0"/>
    <n v="3"/>
    <n v="8"/>
    <s v="6"/>
    <s v="6"/>
  </r>
  <r>
    <s v="ardchun"/>
    <s v="reflyhz"/>
    <m/>
    <m/>
    <m/>
    <m/>
    <m/>
    <m/>
    <m/>
    <m/>
    <s v="No"/>
    <n v="83"/>
    <b v="0"/>
    <m/>
    <s v="Quote"/>
    <x v="67"/>
    <s v="https://t.co/BKYtLcah8z SALAM NOL PERSEN"/>
    <n v="0"/>
    <n v="0"/>
    <n v="0"/>
    <n v="0"/>
    <m/>
    <m/>
    <s v="https://twb.nz/presidentialthreshold0persen"/>
    <s v="twb.nz"/>
    <m/>
    <m/>
    <m/>
    <s v="Twitter for Android"/>
    <s v="in"/>
    <s v="https://twitter.com/ardchun/status/1478509539271987200"/>
    <d v="2022-01-04T23:31:58.000"/>
    <d v="2022-01-04T00:00:00.000"/>
    <s v="23:31:58"/>
    <b v="0"/>
    <m/>
    <m/>
    <m/>
    <m/>
    <m/>
    <m/>
    <m/>
    <m/>
    <m/>
    <m/>
    <m/>
    <m/>
    <s v="https://pbs.twimg.com/profile_images/1375206509416615937/HTd9lUJP_normal.jpg"/>
    <s v="1478509539271987200"/>
    <s v="1478509539271987200"/>
    <m/>
    <s v=""/>
    <s v="1477713089839570945"/>
    <s v=""/>
    <s v="1477713089839570945"/>
    <s v="1335463599012122626"/>
    <m/>
    <m/>
    <m/>
    <m/>
    <m/>
    <n v="3"/>
    <n v="100"/>
    <n v="0"/>
    <n v="0"/>
    <n v="0"/>
    <n v="0"/>
    <n v="0"/>
    <n v="0"/>
    <n v="3"/>
    <n v="8"/>
    <s v="6"/>
    <s v="9"/>
  </r>
  <r>
    <s v="ardchun"/>
    <s v="ardchun"/>
    <m/>
    <m/>
    <m/>
    <m/>
    <m/>
    <m/>
    <m/>
    <m/>
    <s v="No"/>
    <n v="84"/>
    <b v="0"/>
    <m/>
    <s v="Tweet"/>
    <x v="68"/>
    <s v="Salam Nol Persen https://t.co/Iv9JhrjRUY"/>
    <n v="0"/>
    <n v="0"/>
    <n v="0"/>
    <n v="0"/>
    <m/>
    <m/>
    <m/>
    <m/>
    <m/>
    <s v="https://t.co/Iv9JhrjRUY https://pbs.twimg.com/media/FHvGFDOUUAAV5DU.jpg"/>
    <s v="photo"/>
    <s v="Twitter for Android"/>
    <s v="in"/>
    <s v="https://twitter.com/ardchun/status/1475991097872576514"/>
    <d v="2021-12-29T00:44:34.000"/>
    <d v="2021-12-29T00:00:00.000"/>
    <s v="00:44:34"/>
    <b v="0"/>
    <m/>
    <m/>
    <m/>
    <m/>
    <m/>
    <m/>
    <m/>
    <s v="3_1475991092960972800"/>
    <m/>
    <m/>
    <m/>
    <m/>
    <s v="https://pbs.twimg.com/media/FHvGFDOUUAAV5DU.jpg"/>
    <s v="1475991097872576514"/>
    <s v="1475991097872576514"/>
    <m/>
    <s v=""/>
    <s v=""/>
    <s v=""/>
    <s v="1475991097872576514"/>
    <s v="1335463599012122626"/>
    <m/>
    <m/>
    <m/>
    <m/>
    <m/>
    <n v="3"/>
    <n v="100"/>
    <n v="0"/>
    <n v="0"/>
    <n v="0"/>
    <n v="0"/>
    <n v="0"/>
    <n v="0"/>
    <n v="3"/>
    <n v="1"/>
    <s v="6"/>
    <s v="6"/>
  </r>
  <r>
    <s v="lautpaku"/>
    <s v="mdy_asmara1701"/>
    <m/>
    <m/>
    <m/>
    <m/>
    <m/>
    <m/>
    <m/>
    <m/>
    <s v="No"/>
    <n v="85"/>
    <b v="0"/>
    <m/>
    <s v="Replies to"/>
    <x v="69"/>
    <s v="@Mdy_Asmara1701 junjungan dan penjilatnya sama saja ber bachot lont3 emperan.... ngoaahahahaaaaAsu.... salam DP nol persen..... 🤣🤣🤣🤣"/>
    <n v="0"/>
    <n v="0"/>
    <n v="0"/>
    <n v="0"/>
    <n v="2"/>
    <m/>
    <m/>
    <m/>
    <s v="mdy_asmara1701"/>
    <m/>
    <m/>
    <s v="Twitter for Android"/>
    <s v="in"/>
    <s v="https://twitter.com/lautpaku/status/1703904252450816304"/>
    <d v="2023-09-18T22:50:05.000"/>
    <d v="2023-09-18T00:00:00.000"/>
    <s v="22:50:05"/>
    <m/>
    <m/>
    <m/>
    <m/>
    <m/>
    <m/>
    <m/>
    <m/>
    <m/>
    <m/>
    <m/>
    <m/>
    <m/>
    <s v="https://pbs.twimg.com/profile_images/1345422152057593861/mIjaY78H_normal.jpg"/>
    <s v="1703904252450816304"/>
    <s v="1703636295501976057"/>
    <s v="1334853481019056128"/>
    <s v="1703636295501976057"/>
    <s v=""/>
    <s v=""/>
    <s v="1703636295501976057"/>
    <s v="1189715504530722816"/>
    <m/>
    <m/>
    <m/>
    <m/>
    <m/>
    <n v="4"/>
    <n v="26.666666666666668"/>
    <n v="0"/>
    <n v="0"/>
    <n v="0"/>
    <n v="0"/>
    <n v="11"/>
    <n v="73.33333333333333"/>
    <n v="15"/>
    <n v="8"/>
    <s v="5"/>
    <s v="5"/>
  </r>
  <r>
    <s v="dennyindrayana"/>
    <s v="dennyindrayana"/>
    <m/>
    <m/>
    <m/>
    <m/>
    <m/>
    <m/>
    <m/>
    <m/>
    <s v="No"/>
    <n v="86"/>
    <b v="0"/>
    <m/>
    <s v="Tweet"/>
    <x v="70"/>
    <s v="Ambang batas pencalonan presiden (presidential threshold) adalah salah satu hambatan utama hadirnya pemimpin amanah melalui proses pemilu yang jujur dan adil (free and fair election). _x000a__x000a_https://t.co/O7yvMAcSPM"/>
    <n v="12"/>
    <n v="33"/>
    <n v="2"/>
    <n v="1"/>
    <m/>
    <m/>
    <s v="https://politik.rmol.id/read/2022/01/11/518874/Bersama-Refly-Harun-dan-Denny-Indrayana,-Gugatan-Presidential-Threshold-Menjalar-ke-AS,-Jerman-hingga-Qatar-"/>
    <s v="rmol.id"/>
    <m/>
    <m/>
    <m/>
    <s v="Twitter for Android"/>
    <s v="in"/>
    <s v="https://twitter.com/dennyindrayana/status/1481213070253129728"/>
    <d v="2022-01-12T10:34:50.000"/>
    <d v="2022-01-12T00:00:00.000"/>
    <s v="10:34:50"/>
    <b v="0"/>
    <m/>
    <m/>
    <m/>
    <m/>
    <m/>
    <m/>
    <m/>
    <m/>
    <m/>
    <m/>
    <m/>
    <m/>
    <s v="https://pbs.twimg.com/profile_images/1568833724875440135/cICvlWFp_normal.jpg"/>
    <s v="1481213070253129728"/>
    <s v="1481213070253129728"/>
    <m/>
    <s v=""/>
    <s v=""/>
    <s v=""/>
    <s v="1481213070253129728"/>
    <n v="122804908"/>
    <m/>
    <m/>
    <m/>
    <m/>
    <m/>
    <n v="5"/>
    <n v="20"/>
    <n v="1"/>
    <n v="4"/>
    <n v="0"/>
    <n v="0"/>
    <n v="18"/>
    <n v="72"/>
    <n v="25"/>
    <n v="8"/>
    <s v="10"/>
    <s v="10"/>
  </r>
  <r>
    <s v="vandinnie"/>
    <s v="dennyindrayana"/>
    <m/>
    <m/>
    <m/>
    <m/>
    <m/>
    <m/>
    <m/>
    <m/>
    <s v="No"/>
    <n v="87"/>
    <b v="0"/>
    <m/>
    <s v="Quote"/>
    <x v="71"/>
    <s v="Melawan Oligarki Cukup Dengan Presidential Threshold._x000a__x000a_Cukong Selama ini yang Merusak tatanan Demokrasi Bangsa Indonesia._x000a__x000a_#SalamNolPersen https://t.co/72ASGcUDWt"/>
    <n v="0"/>
    <n v="0"/>
    <n v="0"/>
    <n v="0"/>
    <m/>
    <s v="salamnolpersen"/>
    <m/>
    <m/>
    <m/>
    <s v="https://t.co/72ASGcUDWt https://pbs.twimg.com/ext_tw_video_thumb/1481214292691394566/pu/img/hv3TjHLTiL8hT7VF.jpg"/>
    <s v="video"/>
    <s v="Twitter for Android"/>
    <s v="in"/>
    <s v="https://twitter.com/vandinnie/status/1481214364896346112"/>
    <d v="2022-01-12T10:39:58.000"/>
    <d v="2022-01-12T00:00:00.000"/>
    <s v="10:39:58"/>
    <b v="0"/>
    <m/>
    <m/>
    <m/>
    <m/>
    <m/>
    <m/>
    <m/>
    <s v="7_1481214292691394566"/>
    <n v="23033"/>
    <m/>
    <m/>
    <m/>
    <s v="https://pbs.twimg.com/ext_tw_video_thumb/1481214292691394566/pu/img/hv3TjHLTiL8hT7VF.jpg"/>
    <s v="1481214364896346112"/>
    <s v="1481214364896346112"/>
    <m/>
    <s v=""/>
    <s v="1481213070253129728"/>
    <s v=""/>
    <s v="1481213070253129728"/>
    <s v="1346819369104416768"/>
    <m/>
    <m/>
    <m/>
    <m/>
    <m/>
    <n v="1"/>
    <n v="6.25"/>
    <n v="2"/>
    <n v="12.5"/>
    <n v="0"/>
    <n v="0"/>
    <n v="13"/>
    <n v="81.25"/>
    <n v="16"/>
    <n v="1"/>
    <s v="10"/>
    <s v="10"/>
  </r>
  <r>
    <s v="vandinnie"/>
    <s v="vandinnie"/>
    <m/>
    <m/>
    <m/>
    <m/>
    <m/>
    <m/>
    <m/>
    <m/>
    <s v="No"/>
    <n v="88"/>
    <b v="0"/>
    <m/>
    <s v="Tweet"/>
    <x v="72"/>
    <s v="Mendukung Parlemen Theshold sama dengan Melawan Kekuatan Oligarki..!!!!!!!!!_x000a__x000a_Yuk Dukung PT 0% untuk syarat Capres dan Cawapres 2024._x000a__x000a_Oligarki Tumbang ... _x000a_INDONESIA ADIL DAN MAKMUR_x000a__x000a_🇮🇩🇮🇩🇮🇩🇮🇩🇮🇩🇮🇩🇮🇩🇮🇩_x000a__x000a_#salamNolPersen_x000a_#innallillahi_x000a_#walikotabandung_x000a_#GoPay https://t.co/1VfoXVwm8f"/>
    <n v="2"/>
    <n v="4"/>
    <n v="0"/>
    <n v="0"/>
    <m/>
    <s v="salamnolpersen innallillahi walikotabandung gopay"/>
    <m/>
    <m/>
    <m/>
    <s v="https://t.co/1VfoXVwm8f https://pbs.twimg.com/media/FGPopCrUUAECI3u.jpg"/>
    <s v="photo"/>
    <s v="Twitter for Android"/>
    <s v="in"/>
    <s v="https://twitter.com/vandinnie/status/1469273715389075456"/>
    <d v="2021-12-10T11:52:06.000"/>
    <d v="2021-12-10T00:00:00.000"/>
    <s v="11:52:06"/>
    <b v="0"/>
    <m/>
    <m/>
    <m/>
    <m/>
    <m/>
    <m/>
    <m/>
    <s v="3_1469273695243751425"/>
    <m/>
    <m/>
    <m/>
    <m/>
    <s v="https://pbs.twimg.com/media/FGPopCrUUAECI3u.jpg"/>
    <s v="1469273715389075456"/>
    <s v="1469273715389075456"/>
    <m/>
    <s v=""/>
    <s v=""/>
    <s v=""/>
    <s v="1469273715389075456"/>
    <s v="1346819369104416768"/>
    <m/>
    <m/>
    <m/>
    <m/>
    <m/>
    <n v="4"/>
    <n v="14.285714285714286"/>
    <n v="1"/>
    <n v="3.5714285714285716"/>
    <n v="0"/>
    <n v="0"/>
    <n v="23"/>
    <n v="82.14285714285714"/>
    <n v="28"/>
    <n v="64"/>
    <s v="10"/>
    <s v="10"/>
  </r>
  <r>
    <s v="vandinnie"/>
    <s v="fahiraidris"/>
    <m/>
    <m/>
    <m/>
    <m/>
    <m/>
    <m/>
    <m/>
    <m/>
    <s v="No"/>
    <n v="89"/>
    <b v="1"/>
    <m/>
    <s v="Quote"/>
    <x v="73"/>
    <s v="#gugatpresidentialthreshold _x000a_#SalamNolPersen"/>
    <n v="1"/>
    <n v="3"/>
    <n v="0"/>
    <n v="0"/>
    <m/>
    <s v="gugatpresidentialthreshold salamnolpersen"/>
    <m/>
    <m/>
    <m/>
    <m/>
    <m/>
    <s v="Twitter for Android"/>
    <s v="qht"/>
    <s v="https://twitter.com/vandinnie/status/1480756529326280705"/>
    <d v="2022-01-11T04:20:42.000"/>
    <d v="2022-01-11T00:00:00.000"/>
    <s v="04:20:42"/>
    <m/>
    <m/>
    <m/>
    <m/>
    <m/>
    <m/>
    <m/>
    <m/>
    <m/>
    <m/>
    <m/>
    <m/>
    <m/>
    <s v="https://pbs.twimg.com/profile_images/1685494956864180224/Y08DGzcI_normal.jpg"/>
    <s v="1480756529326280705"/>
    <s v="1480756529326280705"/>
    <m/>
    <s v=""/>
    <s v="1480755415759527938"/>
    <s v=""/>
    <s v="1480755415759527938"/>
    <s v="1346819369104416768"/>
    <m/>
    <m/>
    <m/>
    <m/>
    <m/>
    <n v="0"/>
    <n v="0"/>
    <n v="0"/>
    <n v="0"/>
    <n v="0"/>
    <n v="0"/>
    <n v="2"/>
    <n v="100"/>
    <n v="2"/>
    <n v="1"/>
    <s v="10"/>
    <s v="5"/>
  </r>
  <r>
    <s v="vandinnie"/>
    <s v="oposisicerdas"/>
    <m/>
    <m/>
    <m/>
    <m/>
    <m/>
    <m/>
    <m/>
    <m/>
    <s v="No"/>
    <n v="90"/>
    <b v="0"/>
    <m/>
    <s v="Quote"/>
    <x v="74"/>
    <s v="Salam Nol Persen_x000a__x000a_Berani Bangkit Indonesia Kuat_x000a__x000a_#gugatpresidentialthreshold _x000a_#hapuspt20persen _x000a_#presidentielles2022"/>
    <n v="0"/>
    <n v="0"/>
    <n v="0"/>
    <n v="0"/>
    <m/>
    <s v="gugatpresidentialthreshold hapuspt20persen presidentielles2022"/>
    <m/>
    <m/>
    <m/>
    <m/>
    <m/>
    <s v="Twitter for Android"/>
    <s v="in"/>
    <s v="https://twitter.com/vandinnie/status/1483318576337793025"/>
    <d v="2022-01-18T06:01:21.000"/>
    <d v="2022-01-18T00:00:00.000"/>
    <s v="06:01:21"/>
    <m/>
    <m/>
    <m/>
    <m/>
    <m/>
    <m/>
    <m/>
    <m/>
    <m/>
    <m/>
    <m/>
    <m/>
    <m/>
    <s v="https://pbs.twimg.com/profile_images/1685494956864180224/Y08DGzcI_normal.jpg"/>
    <s v="1483318576337793025"/>
    <s v="1483318576337793025"/>
    <m/>
    <s v=""/>
    <s v="1483244044251987970"/>
    <s v=""/>
    <s v="1483244044251987970"/>
    <s v="1346819369104416768"/>
    <m/>
    <m/>
    <m/>
    <m/>
    <m/>
    <n v="4"/>
    <n v="40"/>
    <n v="0"/>
    <n v="0"/>
    <n v="0"/>
    <n v="0"/>
    <n v="6"/>
    <n v="60"/>
    <n v="10"/>
    <n v="1"/>
    <s v="10"/>
    <s v="10"/>
  </r>
  <r>
    <s v="selamanyamulyo"/>
    <s v="democrazymedia"/>
    <m/>
    <m/>
    <m/>
    <m/>
    <m/>
    <m/>
    <m/>
    <m/>
    <s v="No"/>
    <n v="91"/>
    <b v="0"/>
    <m/>
    <s v="Replies to"/>
    <x v="75"/>
    <s v="@democrazymedia BISMILLAH Profesor .. _x000a__x000a_Semoga niat untuk menghukum mati para Koruptor bisa dilakukan dengan Salam NOL persen ..🇲🇨"/>
    <n v="0"/>
    <n v="0"/>
    <n v="0"/>
    <n v="0"/>
    <m/>
    <m/>
    <m/>
    <m/>
    <s v="democrazymedia"/>
    <m/>
    <m/>
    <s v="Twitter for Android"/>
    <s v="in"/>
    <s v="https://twitter.com/selamanyamulyo/status/1584935131927957504"/>
    <d v="2022-10-25T15:49:16.000"/>
    <d v="2022-10-25T00:00:00.000"/>
    <s v="15:49:16"/>
    <m/>
    <m/>
    <m/>
    <m/>
    <m/>
    <m/>
    <m/>
    <m/>
    <m/>
    <m/>
    <m/>
    <m/>
    <m/>
    <s v="https://abs.twimg.com/sticky/default_profile_images/default_profile_normal.png"/>
    <s v="1584935131927957504"/>
    <s v="1584848492727398400"/>
    <s v="1243804423001763841"/>
    <s v="1584848492727398400"/>
    <s v=""/>
    <s v=""/>
    <s v="1584848492727398400"/>
    <s v="1551184912509976576"/>
    <m/>
    <m/>
    <m/>
    <m/>
    <m/>
    <n v="4"/>
    <n v="25"/>
    <n v="0"/>
    <n v="0"/>
    <n v="0"/>
    <n v="0"/>
    <n v="12"/>
    <n v="75"/>
    <n v="16"/>
    <n v="1"/>
    <s v="2"/>
    <s v="2"/>
  </r>
  <r>
    <s v="maknyinyik"/>
    <s v="doankwarto"/>
    <m/>
    <m/>
    <m/>
    <m/>
    <m/>
    <m/>
    <m/>
    <m/>
    <s v="No"/>
    <n v="92"/>
    <b v="1"/>
    <m/>
    <s v="MentionsInReplyTo"/>
    <x v="76"/>
    <s v="@AbaJijeh @DoankWarto Puas dikasih parkir air, puas dikasih sumur resapan puas mandang tugu tuguan, puas dapat oke ocrot, puas DP nol persen kebeli, puas lihat kali ditutup waring, puas mandang genting warna warni..? Salam akal sehat.."/>
    <n v="0"/>
    <n v="0"/>
    <n v="0"/>
    <n v="0"/>
    <n v="5"/>
    <m/>
    <m/>
    <m/>
    <s v="abajijeh doankwarto"/>
    <m/>
    <m/>
    <s v="Twitter for Android"/>
    <s v="in"/>
    <s v="https://twitter.com/maknyinyik/status/1689325558642221056"/>
    <d v="2023-08-09T17:19:33.000"/>
    <d v="2023-08-09T00:00:00.000"/>
    <s v="17:19:33"/>
    <m/>
    <m/>
    <m/>
    <m/>
    <m/>
    <m/>
    <m/>
    <m/>
    <m/>
    <m/>
    <m/>
    <m/>
    <m/>
    <s v="https://pbs.twimg.com/profile_images/1604770180844097538/-ru78odx_normal.jpg"/>
    <s v="1689325558642221056"/>
    <s v="1689061583383826432"/>
    <s v="1569478246772928512"/>
    <s v="1689117614520549377"/>
    <s v=""/>
    <s v=""/>
    <s v="1689117614520549377"/>
    <s v="1604110356183293953"/>
    <m/>
    <m/>
    <m/>
    <m/>
    <m/>
    <m/>
    <m/>
    <m/>
    <m/>
    <m/>
    <m/>
    <m/>
    <m/>
    <m/>
    <n v="1"/>
    <s v="18"/>
    <s v="18"/>
  </r>
  <r>
    <s v="ahmadmuda19"/>
    <s v="ilctalkshow"/>
    <m/>
    <m/>
    <m/>
    <m/>
    <m/>
    <m/>
    <m/>
    <m/>
    <s v="No"/>
    <n v="94"/>
    <b v="0"/>
    <m/>
    <s v="Replies to"/>
    <x v="77"/>
    <s v="@YoutubeILC Salam untuk Ahmad Yani. Salam 0 Persen. Ayo saudara Ahmad Yani ikut berjuang untuk PT Nol Persen"/>
    <n v="0"/>
    <n v="0"/>
    <n v="1"/>
    <n v="0"/>
    <m/>
    <m/>
    <m/>
    <m/>
    <m/>
    <m/>
    <m/>
    <s v="Twitter for Android"/>
    <s v="in"/>
    <s v="https://twitter.com/ahmadmuda19/status/1472756912701599745"/>
    <d v="2021-12-20T02:33:05.000"/>
    <d v="2021-12-20T00:00:00.000"/>
    <s v="02:33:05"/>
    <m/>
    <m/>
    <m/>
    <m/>
    <m/>
    <m/>
    <m/>
    <m/>
    <m/>
    <m/>
    <m/>
    <m/>
    <m/>
    <s v="https://pbs.twimg.com/profile_images/1332673855308013568/LPphjciL_normal.jpg"/>
    <s v="1472756912701599745"/>
    <s v="1472754193777651714"/>
    <s v="2421762716"/>
    <s v="1472754193777651714"/>
    <s v=""/>
    <s v=""/>
    <s v="1472754193777651714"/>
    <s v="1332673577062080515"/>
    <m/>
    <m/>
    <m/>
    <m/>
    <m/>
    <n v="6"/>
    <n v="33.333333333333336"/>
    <n v="0"/>
    <n v="0"/>
    <n v="0"/>
    <n v="0"/>
    <n v="12"/>
    <n v="66.66666666666667"/>
    <n v="18"/>
    <n v="1"/>
    <s v="33"/>
    <s v="33"/>
  </r>
  <r>
    <s v="takon_wong"/>
    <s v="bisniscom"/>
    <m/>
    <m/>
    <m/>
    <m/>
    <m/>
    <m/>
    <m/>
    <m/>
    <s v="No"/>
    <n v="95"/>
    <b v="0"/>
    <m/>
    <s v="Replies to"/>
    <x v="78"/>
    <s v="@Bisniscom Biyar tidak tersandera oleh jasa2 orang lain presiden musti orang baru yaitu pak mardigu wp 🤣🤣🤣 _x000a_Salam nol persen!"/>
    <n v="0"/>
    <n v="0"/>
    <n v="0"/>
    <n v="0"/>
    <m/>
    <m/>
    <m/>
    <m/>
    <s v="bisniscom"/>
    <m/>
    <m/>
    <s v="Twitter for Android"/>
    <s v="in"/>
    <s v="https://twitter.com/takon_wong/status/1575092246734512129"/>
    <d v="2022-09-28T11:57:10.000"/>
    <d v="2022-09-28T00:00:00.000"/>
    <s v="11:57:10"/>
    <m/>
    <m/>
    <m/>
    <m/>
    <m/>
    <m/>
    <m/>
    <m/>
    <m/>
    <m/>
    <m/>
    <m/>
    <m/>
    <s v="https://pbs.twimg.com/profile_images/1399507854726352900/o8qYsw4y_normal.jpg"/>
    <s v="1575092246734512129"/>
    <s v="1575090709987995649"/>
    <s v="118646322"/>
    <s v="1575090709987995649"/>
    <s v=""/>
    <s v=""/>
    <s v="1575090709987995649"/>
    <s v="1399290283309735938"/>
    <m/>
    <m/>
    <m/>
    <m/>
    <m/>
    <n v="3"/>
    <n v="15.789473684210526"/>
    <n v="1"/>
    <n v="5.2631578947368425"/>
    <n v="0"/>
    <n v="0"/>
    <n v="15"/>
    <n v="78.94736842105263"/>
    <n v="19"/>
    <n v="1"/>
    <s v="32"/>
    <s v="32"/>
  </r>
  <r>
    <s v="dniupdate"/>
    <s v="dniupdate"/>
    <m/>
    <m/>
    <m/>
    <m/>
    <m/>
    <m/>
    <m/>
    <m/>
    <s v="No"/>
    <n v="96"/>
    <b v="0"/>
    <m/>
    <s v="Tweet"/>
    <x v="79"/>
    <s v="Daftarkan gugatan PT ke MK, Refly Harun: salam nol persen https://t.co/GaYXnm4LZX"/>
    <n v="0"/>
    <n v="0"/>
    <n v="0"/>
    <n v="0"/>
    <m/>
    <m/>
    <s v="https://www.dailynewsindonesia.com/news/daftarkan-gugatan-pt-ke-mk-refly-harun-salam-nol-persen/"/>
    <s v="dailynewsindonesia.com"/>
    <m/>
    <m/>
    <m/>
    <s v="Jetpack.com"/>
    <s v="in"/>
    <s v="https://twitter.com/dniupdate/status/1469025602086838274"/>
    <d v="2021-12-09T19:26:11.000"/>
    <d v="2021-12-09T00:00:00.000"/>
    <s v="19:26:11"/>
    <b v="0"/>
    <m/>
    <m/>
    <m/>
    <m/>
    <m/>
    <m/>
    <m/>
    <m/>
    <m/>
    <m/>
    <m/>
    <m/>
    <s v="https://pbs.twimg.com/profile_images/1226116907230621696/IDrU5ecA_normal.jpg"/>
    <s v="1469025602086838274"/>
    <s v="1469025602086838274"/>
    <m/>
    <s v=""/>
    <s v=""/>
    <s v=""/>
    <s v="1469025602086838274"/>
    <s v="1226102794551095297"/>
    <m/>
    <m/>
    <m/>
    <m/>
    <m/>
    <n v="3"/>
    <n v="30"/>
    <n v="1"/>
    <n v="10"/>
    <n v="0"/>
    <n v="0"/>
    <n v="6"/>
    <n v="60"/>
    <n v="10"/>
    <n v="1"/>
    <s v="4"/>
    <s v="4"/>
  </r>
  <r>
    <s v="ramlirizal"/>
    <s v="unj_official"/>
    <m/>
    <m/>
    <m/>
    <m/>
    <m/>
    <m/>
    <m/>
    <m/>
    <s v="No"/>
    <n v="97"/>
    <b v="0"/>
    <m/>
    <s v="Mentions"/>
    <x v="80"/>
    <s v="Sangat wajar jika mahasiswa, civitas akademik dan Rektor Universitas Negeri Jakarta (UNJ) bangga dgn dosennya Ubaidillah Badrun, yg memiliki integritas moral, akademik dan historis untuk membuat Indonesia bersih KKN. Itu bagian dari Tri Darma PT 👍👍 @UNJ_Official"/>
    <n v="165"/>
    <n v="779"/>
    <n v="38"/>
    <n v="12"/>
    <m/>
    <m/>
    <m/>
    <m/>
    <s v="unj_official"/>
    <m/>
    <m/>
    <s v="Twitter for iPhone"/>
    <s v="in"/>
    <s v="https://twitter.com/ramlirizal/status/1481521814820253698"/>
    <d v="2022-01-13T07:01:40.000"/>
    <d v="2022-01-13T00:00:00.000"/>
    <s v="07:01:40"/>
    <m/>
    <m/>
    <m/>
    <m/>
    <m/>
    <m/>
    <m/>
    <m/>
    <m/>
    <m/>
    <m/>
    <m/>
    <m/>
    <s v="https://pbs.twimg.com/profile_images/566077214081290240/NQje2pzu_normal.jpeg"/>
    <s v="1481521814820253698"/>
    <s v="1481521814820253698"/>
    <m/>
    <s v=""/>
    <s v=""/>
    <s v=""/>
    <s v="1481521814820253698"/>
    <n v="452992293"/>
    <m/>
    <m/>
    <m/>
    <m/>
    <m/>
    <n v="3"/>
    <n v="8.333333333333334"/>
    <n v="1"/>
    <n v="2.7777777777777777"/>
    <n v="0"/>
    <n v="0"/>
    <n v="32"/>
    <n v="88.88888888888889"/>
    <n v="36"/>
    <n v="1"/>
    <s v="6"/>
    <s v="6"/>
  </r>
  <r>
    <s v="mmargani5"/>
    <s v="aheryawan"/>
    <m/>
    <m/>
    <m/>
    <m/>
    <m/>
    <m/>
    <m/>
    <m/>
    <s v="No"/>
    <n v="98"/>
    <b v="1"/>
    <m/>
    <s v="MentionsInReplyTo"/>
    <x v="81"/>
    <s v="@MardaniAliSera @PKSejahtera @hnurwahid @FPKSDPRRI @fahiraidris @tifsembiring @aheryawan PKS harus serius Dukung JR ke MK HAPUSKAN PT 20% agar muncul Pemimpin Sejati bukan BONEKA OLIGARKI..._x000a_SALAM NOL PERSEN!"/>
    <n v="0"/>
    <n v="2"/>
    <n v="1"/>
    <n v="0"/>
    <m/>
    <m/>
    <m/>
    <m/>
    <s v="mardanialisera pksejahtera hnurwahid fpksdprri fahiraidris tifsembiring aheryawan"/>
    <m/>
    <m/>
    <s v="Twitter for Android"/>
    <s v="in"/>
    <s v="https://twitter.com/mmargani5/status/1488195481318883333"/>
    <d v="2022-01-31T17:00:26.000"/>
    <d v="2022-01-31T00:00:00.000"/>
    <s v="17:00:26"/>
    <m/>
    <m/>
    <m/>
    <m/>
    <m/>
    <m/>
    <m/>
    <m/>
    <m/>
    <m/>
    <m/>
    <m/>
    <m/>
    <s v="https://pbs.twimg.com/profile_images/1598949437656924160/LdPX9LJn_normal.jpg"/>
    <s v="1488195481318883333"/>
    <s v="1488060091651670016"/>
    <s v="122020937"/>
    <s v="1488060091651670016"/>
    <s v=""/>
    <s v=""/>
    <s v="1488060091651670016"/>
    <s v="1028124533201371136"/>
    <m/>
    <m/>
    <m/>
    <m/>
    <m/>
    <m/>
    <m/>
    <m/>
    <m/>
    <m/>
    <m/>
    <m/>
    <m/>
    <m/>
    <n v="1"/>
    <s v="3"/>
    <s v="3"/>
  </r>
  <r>
    <s v="mmargani5"/>
    <s v="giginpraginanto"/>
    <m/>
    <m/>
    <m/>
    <m/>
    <m/>
    <m/>
    <m/>
    <m/>
    <s v="No"/>
    <n v="100"/>
    <b v="0"/>
    <m/>
    <s v="Replies to"/>
    <x v="82"/>
    <s v="@giginpraginanto Menjadi satu2nya partai yg dpt mengusung capres sendiri tanpa hrs berkoalisi dgn partai lain membuat mrk lupa diri bahkan jumawa dan ini takkan trjd jika tdk ada PT20%._x000a_Salam Nol Persen!👈😎☝"/>
    <n v="0"/>
    <n v="0"/>
    <n v="0"/>
    <n v="0"/>
    <m/>
    <m/>
    <m/>
    <m/>
    <s v="giginpraginanto"/>
    <m/>
    <m/>
    <s v="Twitter for Android"/>
    <s v="in"/>
    <s v="https://twitter.com/mmargani5/status/1539978856206979072"/>
    <d v="2022-06-23T14:29:05.000"/>
    <d v="2022-06-23T00:00:00.000"/>
    <s v="14:29:05"/>
    <m/>
    <m/>
    <m/>
    <m/>
    <m/>
    <m/>
    <m/>
    <m/>
    <m/>
    <m/>
    <m/>
    <m/>
    <m/>
    <s v="https://pbs.twimg.com/profile_images/1598949437656924160/LdPX9LJn_normal.jpg"/>
    <s v="1539978856206979072"/>
    <s v="1539974173417648132"/>
    <s v="296177546"/>
    <s v="1539974173417648132"/>
    <s v=""/>
    <s v=""/>
    <s v="1539974173417648132"/>
    <s v="1028124533201371136"/>
    <m/>
    <m/>
    <m/>
    <m/>
    <m/>
    <n v="3"/>
    <n v="9.375"/>
    <n v="1"/>
    <n v="3.125"/>
    <n v="0"/>
    <n v="0"/>
    <n v="28"/>
    <n v="87.5"/>
    <n v="32"/>
    <n v="1"/>
    <s v="3"/>
    <s v="3"/>
  </r>
  <r>
    <s v="mmargani5"/>
    <s v="officialmkri"/>
    <m/>
    <m/>
    <m/>
    <m/>
    <m/>
    <m/>
    <m/>
    <m/>
    <s v="No"/>
    <n v="101"/>
    <b v="0"/>
    <m/>
    <s v="MentionsInReplyTo"/>
    <x v="83"/>
    <s v="@RamliRizal @officialMKRI Bismillah...SALAM NOL PERSEN‼️"/>
    <n v="0"/>
    <n v="0"/>
    <n v="1"/>
    <n v="0"/>
    <m/>
    <m/>
    <m/>
    <m/>
    <s v="ramlirizal officialmkri"/>
    <m/>
    <m/>
    <s v="Twitter for Android"/>
    <s v="in"/>
    <s v="https://twitter.com/mmargani5/status/1482940939786387458"/>
    <d v="2022-01-17T05:00:46.000"/>
    <d v="2022-01-17T00:00:00.000"/>
    <s v="05:00:46"/>
    <m/>
    <m/>
    <m/>
    <m/>
    <m/>
    <m/>
    <m/>
    <m/>
    <m/>
    <m/>
    <m/>
    <m/>
    <m/>
    <s v="https://pbs.twimg.com/profile_images/1598949437656924160/LdPX9LJn_normal.jpg"/>
    <s v="1482940939786387458"/>
    <s v="1482683368592777219"/>
    <s v="452992293"/>
    <s v="1482683368592777219"/>
    <s v=""/>
    <s v=""/>
    <s v="1482683368592777219"/>
    <s v="1028124533201371136"/>
    <m/>
    <m/>
    <m/>
    <m/>
    <m/>
    <n v="3"/>
    <n v="50"/>
    <n v="0"/>
    <n v="0"/>
    <n v="0"/>
    <n v="0"/>
    <n v="3"/>
    <n v="50"/>
    <n v="6"/>
    <n v="1"/>
    <s v="3"/>
    <s v="3"/>
  </r>
  <r>
    <s v="hnurwahid"/>
    <s v="fpksdprri"/>
    <m/>
    <m/>
    <m/>
    <m/>
    <m/>
    <m/>
    <m/>
    <m/>
    <s v="No"/>
    <n v="108"/>
    <b v="1"/>
    <m/>
    <s v="MentionsInQuote"/>
    <x v="84"/>
    <s v="RUU IKN dikebut dan akhirnya diputuskan pd dini hari tadi. Anggota @FPKSDPRRI tetap perjuangkan sikapnya yg juga aspirasi banyak pihak dan banyak pakar, PKS menolak RUU IKN."/>
    <n v="431"/>
    <n v="1632"/>
    <n v="184"/>
    <n v="41"/>
    <m/>
    <m/>
    <m/>
    <m/>
    <s v="fpksdprri"/>
    <m/>
    <m/>
    <s v="Twitter for iPhone"/>
    <s v="in"/>
    <s v="https://twitter.com/hnurwahid/status/1483224841969090560"/>
    <d v="2022-01-17T23:48:53.000"/>
    <d v="2022-01-17T00:00:00.000"/>
    <s v="23:48:53"/>
    <m/>
    <m/>
    <m/>
    <m/>
    <m/>
    <m/>
    <m/>
    <m/>
    <m/>
    <m/>
    <m/>
    <m/>
    <m/>
    <s v="https://pbs.twimg.com/profile_images/1463084916883685379/pYWu2w0H_normal.jpg"/>
    <s v="1483224841969090560"/>
    <s v="1483224841969090560"/>
    <m/>
    <s v=""/>
    <s v="1483168928209977344"/>
    <s v=""/>
    <s v="1483168928209977344"/>
    <n v="86012022"/>
    <m/>
    <m/>
    <m/>
    <m/>
    <m/>
    <n v="0"/>
    <n v="0"/>
    <n v="1"/>
    <n v="3.7037037037037037"/>
    <n v="0"/>
    <n v="0"/>
    <n v="26"/>
    <n v="96.29629629629629"/>
    <n v="27"/>
    <n v="1"/>
    <s v="3"/>
    <s v="3"/>
  </r>
  <r>
    <s v="salamdiaha"/>
    <s v="salamdiaha"/>
    <m/>
    <m/>
    <m/>
    <m/>
    <m/>
    <m/>
    <m/>
    <m/>
    <s v="No"/>
    <n v="109"/>
    <b v="0"/>
    <m/>
    <s v="Tweet"/>
    <x v="85"/>
    <s v="SALAM NOL PERSEN_x000a_Presidential Threshold. _x000a_#PeriksaAnakLurah _x000a_#PeriksaAnakLurah https://t.co/VWTQb33R76"/>
    <n v="290"/>
    <n v="1163"/>
    <n v="36"/>
    <n v="9"/>
    <m/>
    <s v="periksaanaklurah periksaanaklurah"/>
    <m/>
    <m/>
    <m/>
    <s v="https://t.co/VWTQb33R76 https://pbs.twimg.com/media/FJBPNgJakAAjq4q.jpg"/>
    <s v="photo"/>
    <s v="Twitter for Android"/>
    <s v="en"/>
    <s v="https://twitter.com/salamdiaha/status/1481771374859677696"/>
    <d v="2022-01-13T23:33:20.000"/>
    <d v="2022-01-13T00:00:00.000"/>
    <s v="23:33:20"/>
    <b v="0"/>
    <m/>
    <m/>
    <m/>
    <m/>
    <m/>
    <m/>
    <m/>
    <s v="3_1481771370791211008"/>
    <m/>
    <m/>
    <m/>
    <m/>
    <s v="https://pbs.twimg.com/media/FJBPNgJakAAjq4q.jpg"/>
    <s v="1481771374859677696"/>
    <s v="1481771374859677696"/>
    <m/>
    <s v=""/>
    <s v=""/>
    <s v=""/>
    <s v="1481771374859677696"/>
    <s v="1472861286689959938"/>
    <m/>
    <m/>
    <m/>
    <m/>
    <m/>
    <n v="3"/>
    <n v="42.857142857142854"/>
    <n v="0"/>
    <n v="0"/>
    <n v="0"/>
    <n v="0"/>
    <n v="4"/>
    <n v="57.142857142857146"/>
    <n v="7"/>
    <n v="1"/>
    <s v="35"/>
    <s v="35"/>
  </r>
  <r>
    <s v="domara_maman"/>
    <s v="domara_maman"/>
    <m/>
    <m/>
    <m/>
    <m/>
    <m/>
    <m/>
    <m/>
    <m/>
    <s v="No"/>
    <n v="110"/>
    <b v="0"/>
    <m/>
    <s v="Replies to"/>
    <x v="86"/>
    <s v="@timurandproud Sy kira dgn adanya PT 20%, partai politik dlm hal rekrutmen seorang presiden hnya diambil dr keputusan dari segelintir elite di partai politik semata. Sy myakini bahwa PT 20% mnjadi ladang basah utk mmuluskan jalanny oligarki kekuasaan._x000a__x000a_Terimakasih ilmunya, salam PT nol persen."/>
    <n v="0"/>
    <n v="0"/>
    <n v="2"/>
    <n v="0"/>
    <m/>
    <m/>
    <m/>
    <m/>
    <s v="timurandproud"/>
    <m/>
    <m/>
    <s v="Twitter for Android"/>
    <s v="in"/>
    <s v="https://twitter.com/domara_maman/status/1550520199383658496"/>
    <d v="2022-07-22T16:36:37.000"/>
    <d v="2022-07-22T00:00:00.000"/>
    <s v="16:36:37"/>
    <m/>
    <m/>
    <m/>
    <m/>
    <m/>
    <m/>
    <m/>
    <m/>
    <m/>
    <m/>
    <m/>
    <m/>
    <m/>
    <s v="https://pbs.twimg.com/profile_images/1705128688520663041/zALRjvlK_normal.jpg"/>
    <s v="1550520199383658496"/>
    <s v="1550103905744236545"/>
    <s v="964268499991371776"/>
    <s v="1550519284253593601"/>
    <s v=""/>
    <s v=""/>
    <s v="1550519284253593601"/>
    <s v="964268499991371776"/>
    <m/>
    <m/>
    <m/>
    <m/>
    <m/>
    <n v="5"/>
    <n v="11.363636363636363"/>
    <n v="0"/>
    <n v="0"/>
    <n v="0"/>
    <n v="0"/>
    <n v="39"/>
    <n v="88.63636363636364"/>
    <n v="44"/>
    <n v="1"/>
    <s v="4"/>
    <s v="4"/>
  </r>
  <r>
    <s v="ellhafifie"/>
    <s v="puanmaharani_ri"/>
    <m/>
    <m/>
    <m/>
    <m/>
    <m/>
    <m/>
    <m/>
    <m/>
    <s v="No"/>
    <n v="111"/>
    <b v="0"/>
    <m/>
    <s v="Mentions"/>
    <x v="87"/>
    <s v="Paling asyik untuk 2024, mungkin gk ya ada tiga calon presiden wapres bung @rockygerung_rg ? @prabowo @ridwankamil , @aniesbaswedan @KhofifahIP , dan  @mohmahfudmd @puanmaharani_ri huahaha salam nol persen bung.. . Knp PDIP gk ngambil @mohmahfudmd @puanmaharani_ri , seru ini bung"/>
    <n v="0"/>
    <n v="1"/>
    <n v="0"/>
    <n v="0"/>
    <n v="48"/>
    <m/>
    <m/>
    <m/>
    <s v="rockygerung_rg prabowo ridwankamil aniesbaswedan khofifahip mohmahfudmd puanmaharani_ri mohmahfudmd puanmaharani_ri"/>
    <m/>
    <m/>
    <s v="Twitter for Android"/>
    <s v="in"/>
    <s v="https://twitter.com/ellhafifie/status/1645492818885120001"/>
    <d v="2023-04-10T18:23:54.000"/>
    <d v="2023-04-10T00:00:00.000"/>
    <s v="18:23:54"/>
    <m/>
    <m/>
    <m/>
    <m/>
    <m/>
    <m/>
    <m/>
    <m/>
    <m/>
    <m/>
    <m/>
    <m/>
    <m/>
    <s v="https://pbs.twimg.com/profile_images/1542315705978470400/E4yZS8vy_normal.jpg"/>
    <s v="1645492818885120001"/>
    <s v="1645492818885120001"/>
    <m/>
    <s v=""/>
    <s v=""/>
    <s v=""/>
    <s v="1645492818885120001"/>
    <s v="1541088821139632130"/>
    <m/>
    <m/>
    <m/>
    <m/>
    <m/>
    <m/>
    <m/>
    <m/>
    <m/>
    <m/>
    <m/>
    <m/>
    <m/>
    <m/>
    <n v="8"/>
    <s v="7"/>
    <s v="7"/>
  </r>
  <r>
    <s v="ahamad_ghazali"/>
    <s v="marlina_idha"/>
    <m/>
    <m/>
    <m/>
    <m/>
    <m/>
    <m/>
    <m/>
    <m/>
    <s v="No"/>
    <n v="118"/>
    <b v="0"/>
    <m/>
    <s v="MentionsInReplyTo"/>
    <x v="88"/>
    <s v="@La_Hamu @marlina_idha @aniesbaswedan Salam nol dp persen dan oce oke dan reklamasi buat orang munafik"/>
    <n v="0"/>
    <n v="0"/>
    <n v="3"/>
    <n v="0"/>
    <m/>
    <m/>
    <m/>
    <m/>
    <s v="la_hamu marlina_idha aniesbaswedan"/>
    <m/>
    <m/>
    <s v="Twitter for Android"/>
    <s v="in"/>
    <s v="https://twitter.com/ahamad_ghazali/status/1482918321024802820"/>
    <d v="2022-01-17T03:30:53.000"/>
    <d v="2022-01-17T00:00:00.000"/>
    <s v="03:30:53"/>
    <m/>
    <m/>
    <m/>
    <m/>
    <m/>
    <m/>
    <m/>
    <m/>
    <m/>
    <m/>
    <m/>
    <m/>
    <m/>
    <s v="https://pbs.twimg.com/profile_images/1465976076337823749/7hDeQshF_normal.png"/>
    <s v="1482918321024802820"/>
    <s v="1482622486818979842"/>
    <s v="341715504"/>
    <s v="1482909057988325377"/>
    <s v=""/>
    <s v=""/>
    <s v="1482909057988325377"/>
    <s v="1465975872633159682"/>
    <m/>
    <m/>
    <m/>
    <m/>
    <m/>
    <n v="5"/>
    <n v="33.333333333333336"/>
    <n v="1"/>
    <n v="6.666666666666667"/>
    <n v="0"/>
    <n v="0"/>
    <n v="9"/>
    <n v="60"/>
    <n v="15"/>
    <n v="1"/>
    <s v="7"/>
    <s v="7"/>
  </r>
  <r>
    <s v="ahamad_ghazali"/>
    <s v="z3n7h03n7"/>
    <m/>
    <m/>
    <m/>
    <m/>
    <m/>
    <m/>
    <m/>
    <m/>
    <s v="No"/>
    <n v="119"/>
    <b v="0"/>
    <m/>
    <s v="Replies to"/>
    <x v="89"/>
    <s v="@z3n7h03n7 @GeiszChalifah Bangun stadion pinjam dana kepusat lo banggain drun. Salam nol dp persen dan oce oke dan reklamasi munafik."/>
    <n v="0"/>
    <n v="0"/>
    <n v="0"/>
    <n v="0"/>
    <m/>
    <m/>
    <m/>
    <m/>
    <s v="z3n7h03n7 geiszchalifah"/>
    <m/>
    <m/>
    <s v="Twitter for Android"/>
    <s v="in"/>
    <s v="https://twitter.com/ahamad_ghazali/status/1482604637350170625"/>
    <d v="2022-01-16T06:44:25.000"/>
    <d v="2022-01-16T00:00:00.000"/>
    <s v="06:44:25"/>
    <m/>
    <m/>
    <m/>
    <m/>
    <m/>
    <m/>
    <m/>
    <m/>
    <m/>
    <m/>
    <m/>
    <m/>
    <m/>
    <s v="https://pbs.twimg.com/profile_images/1465976076337823749/7hDeQshF_normal.png"/>
    <s v="1482604637350170625"/>
    <s v="1482326098788913153"/>
    <s v="909115761922150400"/>
    <s v="1482434827274309634"/>
    <s v=""/>
    <s v=""/>
    <s v="1482434827274309634"/>
    <s v="1465975872633159682"/>
    <m/>
    <m/>
    <m/>
    <m/>
    <m/>
    <n v="7"/>
    <n v="35"/>
    <n v="1"/>
    <n v="5"/>
    <n v="0"/>
    <n v="0"/>
    <n v="12"/>
    <n v="60"/>
    <n v="20"/>
    <n v="1"/>
    <s v="7"/>
    <s v="7"/>
  </r>
  <r>
    <s v="ahamad_ghazali"/>
    <s v="dta_pntra"/>
    <m/>
    <m/>
    <m/>
    <m/>
    <m/>
    <m/>
    <m/>
    <m/>
    <s v="No"/>
    <n v="120"/>
    <b v="0"/>
    <m/>
    <s v="Replies to"/>
    <x v="90"/>
    <s v="@__dtya_ @Mdy_Asmara1701 Itulah laki laki apa adanya ngga munapik Kya Anis salam Oce oke dan nol DP persen buat gaji 7 juta kebawah dan"/>
    <n v="0"/>
    <n v="0"/>
    <n v="1"/>
    <n v="0"/>
    <m/>
    <m/>
    <m/>
    <m/>
    <s v="mdy_asmara1701"/>
    <m/>
    <m/>
    <s v="Twitter for Android"/>
    <s v="in"/>
    <s v="https://twitter.com/ahamad_ghazali/status/1528590584671510530"/>
    <d v="2022-05-23T04:16:09.000"/>
    <d v="2022-05-23T00:00:00.000"/>
    <s v="04:16:09"/>
    <m/>
    <m/>
    <m/>
    <m/>
    <m/>
    <m/>
    <m/>
    <m/>
    <m/>
    <m/>
    <m/>
    <m/>
    <m/>
    <s v="https://pbs.twimg.com/profile_images/1465976076337823749/7hDeQshF_normal.png"/>
    <s v="1528590584671510530"/>
    <s v="1528531114838867969"/>
    <s v="1279322616247926789"/>
    <s v="1528541642831298560"/>
    <s v=""/>
    <s v=""/>
    <s v="1528541642831298560"/>
    <s v="1465975872633159682"/>
    <m/>
    <m/>
    <m/>
    <m/>
    <m/>
    <n v="5"/>
    <n v="20.833333333333332"/>
    <n v="1"/>
    <n v="4.166666666666667"/>
    <n v="0"/>
    <n v="0"/>
    <n v="18"/>
    <n v="75"/>
    <n v="24"/>
    <n v="1"/>
    <s v="7"/>
    <s v="7"/>
  </r>
  <r>
    <s v="ahamad_ghazali"/>
    <s v="geiszchalifah"/>
    <m/>
    <m/>
    <m/>
    <m/>
    <m/>
    <m/>
    <m/>
    <m/>
    <s v="No"/>
    <n v="122"/>
    <b v="0"/>
    <m/>
    <s v="Replies to"/>
    <x v="91"/>
    <s v="@GeiszChalifah Bikin stadion pinjam dana kepusat lo banggain drun. Salam nol dp persen dan oce oke dan reklamasi munafik."/>
    <n v="0"/>
    <n v="0"/>
    <n v="0"/>
    <n v="0"/>
    <m/>
    <m/>
    <m/>
    <m/>
    <s v="geiszchalifah"/>
    <m/>
    <m/>
    <s v="Twitter for Android"/>
    <s v="in"/>
    <s v="https://twitter.com/ahamad_ghazali/status/1482604823069749248"/>
    <d v="2022-01-16T06:45:09.000"/>
    <d v="2022-01-16T00:00:00.000"/>
    <s v="06:45:09"/>
    <m/>
    <m/>
    <m/>
    <m/>
    <m/>
    <m/>
    <m/>
    <m/>
    <m/>
    <m/>
    <m/>
    <m/>
    <m/>
    <s v="https://pbs.twimg.com/profile_images/1465976076337823749/7hDeQshF_normal.png"/>
    <s v="1482604823069749248"/>
    <s v="1482326098788913153"/>
    <s v="1297510664148103168"/>
    <s v="1482326098788913153"/>
    <s v=""/>
    <s v=""/>
    <s v="1482326098788913153"/>
    <s v="1465975872633159682"/>
    <m/>
    <m/>
    <m/>
    <m/>
    <m/>
    <n v="6"/>
    <n v="31.57894736842105"/>
    <n v="1"/>
    <n v="5.2631578947368425"/>
    <n v="0"/>
    <n v="0"/>
    <n v="12"/>
    <n v="63.1578947368421"/>
    <n v="19"/>
    <n v="8"/>
    <s v="7"/>
    <s v="2"/>
  </r>
  <r>
    <s v="ahamad_ghazali"/>
    <s v="oposisicerdas"/>
    <m/>
    <m/>
    <m/>
    <m/>
    <m/>
    <m/>
    <m/>
    <m/>
    <s v="No"/>
    <n v="123"/>
    <b v="0"/>
    <m/>
    <s v="Replies to"/>
    <x v="92"/>
    <s v="@OposisiCerdas Salam munafik oce oke dan nol dp persen"/>
    <n v="0"/>
    <n v="0"/>
    <n v="0"/>
    <n v="0"/>
    <m/>
    <m/>
    <m/>
    <m/>
    <s v="oposisicerdas"/>
    <m/>
    <m/>
    <s v="Twitter for Android"/>
    <s v="in"/>
    <s v="https://twitter.com/ahamad_ghazali/status/1468276420510027777"/>
    <d v="2021-12-07T17:49:12.000"/>
    <d v="2021-12-07T00:00:00.000"/>
    <s v="17:49:12"/>
    <m/>
    <m/>
    <m/>
    <m/>
    <m/>
    <m/>
    <m/>
    <m/>
    <m/>
    <m/>
    <m/>
    <m/>
    <m/>
    <s v="https://pbs.twimg.com/profile_images/1465976076337823749/7hDeQshF_normal.png"/>
    <s v="1468276420510027777"/>
    <s v="1468253706575511556"/>
    <s v="887743587579944960"/>
    <s v="1468253706575511556"/>
    <s v=""/>
    <s v=""/>
    <s v="1468253706575511556"/>
    <s v="1465975872633159682"/>
    <m/>
    <m/>
    <m/>
    <m/>
    <m/>
    <n v="5"/>
    <n v="55.55555555555556"/>
    <n v="1"/>
    <n v="11.11111111111111"/>
    <n v="0"/>
    <n v="0"/>
    <n v="3"/>
    <n v="33.333333333333336"/>
    <n v="9"/>
    <n v="1"/>
    <s v="7"/>
    <s v="10"/>
  </r>
  <r>
    <s v="enirositaa"/>
    <s v="papa_loren"/>
    <m/>
    <m/>
    <m/>
    <m/>
    <m/>
    <m/>
    <m/>
    <m/>
    <s v="No"/>
    <n v="124"/>
    <b v="1"/>
    <m/>
    <s v="Replies to"/>
    <x v="93"/>
    <s v="@papa_loren #SalamNolPersen"/>
    <n v="0"/>
    <n v="1"/>
    <n v="1"/>
    <n v="0"/>
    <m/>
    <s v="salamnolpersen"/>
    <m/>
    <m/>
    <s v="papa_loren"/>
    <m/>
    <m/>
    <s v="Twitter for Android"/>
    <s v="qme"/>
    <s v="https://twitter.com/enirositaa/status/1553406502152523777"/>
    <d v="2022-07-30T15:45:45.000"/>
    <d v="2022-07-30T00:00:00.000"/>
    <s v="15:45:45"/>
    <m/>
    <m/>
    <m/>
    <m/>
    <m/>
    <m/>
    <m/>
    <m/>
    <m/>
    <m/>
    <m/>
    <m/>
    <m/>
    <s v="https://pbs.twimg.com/profile_images/1728903111551647744/X7Of6-hz_normal.jpg"/>
    <s v="1553406502152523777"/>
    <s v="1553382475145318400"/>
    <s v="1466651308102877187"/>
    <s v="1553382475145318400"/>
    <s v=""/>
    <s v=""/>
    <s v="1553382475145318400"/>
    <n v="453291086"/>
    <m/>
    <m/>
    <m/>
    <m/>
    <m/>
    <n v="0"/>
    <n v="0"/>
    <n v="0"/>
    <n v="0"/>
    <n v="0"/>
    <n v="0"/>
    <n v="2"/>
    <n v="100"/>
    <n v="2"/>
    <n v="1"/>
    <s v="12"/>
    <s v="12"/>
  </r>
  <r>
    <s v="enirositaa"/>
    <s v="smartizen_"/>
    <m/>
    <m/>
    <m/>
    <m/>
    <m/>
    <m/>
    <m/>
    <m/>
    <s v="No"/>
    <n v="125"/>
    <b v="1"/>
    <m/>
    <s v="Replies to"/>
    <x v="94"/>
    <s v="@smartizen_ #SalamNolPersen"/>
    <n v="0"/>
    <n v="0"/>
    <n v="0"/>
    <n v="0"/>
    <m/>
    <s v="salamnolpersen"/>
    <m/>
    <m/>
    <s v="smartizen_"/>
    <m/>
    <m/>
    <s v="Twitter for Android"/>
    <s v="qme"/>
    <s v="https://twitter.com/enirositaa/status/1543225814455422978"/>
    <d v="2022-07-02T13:31:20.000"/>
    <d v="2022-07-02T00:00:00.000"/>
    <s v="13:31:20"/>
    <m/>
    <m/>
    <m/>
    <m/>
    <m/>
    <m/>
    <m/>
    <m/>
    <m/>
    <m/>
    <m/>
    <m/>
    <m/>
    <s v="https://pbs.twimg.com/profile_images/1728903111551647744/X7Of6-hz_normal.jpg"/>
    <s v="1543225814455422978"/>
    <s v="1542008540000227329"/>
    <s v="2714691272"/>
    <s v="1542008540000227329"/>
    <s v=""/>
    <s v=""/>
    <s v="1542008540000227329"/>
    <n v="453291086"/>
    <m/>
    <m/>
    <m/>
    <m/>
    <m/>
    <n v="0"/>
    <n v="0"/>
    <n v="0"/>
    <n v="0"/>
    <n v="0"/>
    <n v="0"/>
    <n v="2"/>
    <n v="100"/>
    <n v="2"/>
    <n v="1"/>
    <s v="12"/>
    <s v="12"/>
  </r>
  <r>
    <s v="enirositaa"/>
    <s v="nicho_silalahi"/>
    <m/>
    <m/>
    <m/>
    <m/>
    <m/>
    <m/>
    <m/>
    <m/>
    <s v="No"/>
    <n v="126"/>
    <b v="1"/>
    <m/>
    <s v="Replies to"/>
    <x v="95"/>
    <s v="@Nicho_Silalahi #SalamNolPersen"/>
    <n v="0"/>
    <n v="0"/>
    <n v="0"/>
    <n v="0"/>
    <m/>
    <s v="salamnolpersen"/>
    <m/>
    <m/>
    <s v="nicho_silalahi"/>
    <m/>
    <m/>
    <s v="Twitter for Android"/>
    <s v="qme"/>
    <s v="https://twitter.com/enirositaa/status/1561121868098068480"/>
    <d v="2022-08-20T22:43:52.000"/>
    <d v="2022-08-20T00:00:00.000"/>
    <s v="22:43:52"/>
    <m/>
    <m/>
    <m/>
    <m/>
    <m/>
    <m/>
    <m/>
    <m/>
    <m/>
    <m/>
    <m/>
    <m/>
    <m/>
    <s v="https://pbs.twimg.com/profile_images/1728903111551647744/X7Of6-hz_normal.jpg"/>
    <s v="1561121868098068480"/>
    <s v="1561101654543732737"/>
    <s v="75519742"/>
    <s v="1561101654543732737"/>
    <s v=""/>
    <s v=""/>
    <s v="1561101654543732737"/>
    <n v="453291086"/>
    <m/>
    <m/>
    <m/>
    <m/>
    <m/>
    <n v="0"/>
    <n v="0"/>
    <n v="0"/>
    <n v="0"/>
    <n v="0"/>
    <n v="0"/>
    <n v="2"/>
    <n v="100"/>
    <n v="2"/>
    <n v="1"/>
    <s v="12"/>
    <s v="12"/>
  </r>
  <r>
    <s v="nfatqi"/>
    <s v="anunksalsabiel1"/>
    <m/>
    <m/>
    <m/>
    <m/>
    <m/>
    <m/>
    <m/>
    <m/>
    <s v="No"/>
    <n v="127"/>
    <b v="0"/>
    <m/>
    <s v="Replies to"/>
    <x v="96"/>
    <s v="@AnunkSalsabiel1 salam nol persen"/>
    <n v="0"/>
    <n v="0"/>
    <n v="0"/>
    <n v="0"/>
    <m/>
    <m/>
    <m/>
    <m/>
    <s v="anunksalsabiel1"/>
    <m/>
    <m/>
    <s v="Twitter for Android"/>
    <s v="in"/>
    <s v="https://twitter.com/nfatqi/status/1551891930619019266"/>
    <d v="2022-07-26T11:27:23.000"/>
    <d v="2022-07-26T00:00:00.000"/>
    <s v="11:27:23"/>
    <m/>
    <m/>
    <m/>
    <m/>
    <m/>
    <m/>
    <m/>
    <m/>
    <m/>
    <m/>
    <m/>
    <m/>
    <m/>
    <s v="https://pbs.twimg.com/profile_images/1215556700788289537/Zxt1Ktw7_normal.jpg"/>
    <s v="1551891930619019266"/>
    <s v="1551880105219088386"/>
    <s v="1378270569842450432"/>
    <s v="1551880105219088386"/>
    <s v=""/>
    <s v=""/>
    <s v="1551880105219088386"/>
    <s v="1215556289540968449"/>
    <m/>
    <m/>
    <m/>
    <m/>
    <m/>
    <n v="3"/>
    <n v="75"/>
    <n v="0"/>
    <n v="0"/>
    <n v="0"/>
    <n v="0"/>
    <n v="1"/>
    <n v="25"/>
    <n v="4"/>
    <n v="1"/>
    <s v="31"/>
    <s v="31"/>
  </r>
  <r>
    <s v="hasan_rosadi"/>
    <s v="pdemokrat"/>
    <m/>
    <m/>
    <m/>
    <m/>
    <m/>
    <m/>
    <m/>
    <m/>
    <s v="No"/>
    <n v="128"/>
    <b v="1"/>
    <m/>
    <s v="MentionsInReplyTo"/>
    <x v="97"/>
    <s v="@Rizmaya__ @Galih_Akek2 @PDemokrat Titip salam, kalau pengin nol persen, jadikan aja DP rusun, kalau nggak ya suruh nyalon kades aja."/>
    <n v="0"/>
    <n v="0"/>
    <n v="0"/>
    <n v="0"/>
    <m/>
    <m/>
    <m/>
    <m/>
    <s v="galih_akek2 pdemokrat"/>
    <m/>
    <m/>
    <s v="Twitter for Android"/>
    <s v="in"/>
    <s v="https://twitter.com/hasan_rosadi/status/1473911373255958528"/>
    <d v="2021-12-23T07:00:29.000"/>
    <d v="2021-12-23T00:00:00.000"/>
    <s v="07:00:29"/>
    <m/>
    <m/>
    <m/>
    <m/>
    <m/>
    <m/>
    <m/>
    <m/>
    <m/>
    <m/>
    <m/>
    <m/>
    <m/>
    <s v="https://pbs.twimg.com/profile_images/1456664684006821896/pcmqbuw1_normal.jpg"/>
    <s v="1473911373255958528"/>
    <s v="1473615277124325381"/>
    <s v="382522068"/>
    <s v="1473615277124325381"/>
    <s v=""/>
    <s v=""/>
    <s v="1473615277124325381"/>
    <n v="232178767"/>
    <m/>
    <m/>
    <m/>
    <m/>
    <m/>
    <m/>
    <m/>
    <m/>
    <m/>
    <m/>
    <m/>
    <m/>
    <m/>
    <m/>
    <n v="1"/>
    <s v="17"/>
    <s v="17"/>
  </r>
  <r>
    <s v="ucoxregar"/>
    <s v="fahiraidris"/>
    <m/>
    <m/>
    <m/>
    <m/>
    <m/>
    <m/>
    <m/>
    <m/>
    <s v="No"/>
    <n v="130"/>
    <b v="0"/>
    <m/>
    <s v="Quote"/>
    <x v="98"/>
    <s v="Salam nol persen"/>
    <n v="0"/>
    <n v="0"/>
    <n v="0"/>
    <n v="0"/>
    <m/>
    <m/>
    <m/>
    <m/>
    <m/>
    <m/>
    <m/>
    <s v="Twitter for Android"/>
    <s v="in"/>
    <s v="https://twitter.com/ucoxregar/status/1480881385283809282"/>
    <d v="2022-01-11T12:36:50.000"/>
    <d v="2022-01-11T00:00:00.000"/>
    <s v="12:36:50"/>
    <m/>
    <m/>
    <m/>
    <m/>
    <m/>
    <m/>
    <m/>
    <m/>
    <m/>
    <m/>
    <m/>
    <m/>
    <m/>
    <s v="https://pbs.twimg.com/profile_images/1718618960466415617/yCO718Gu_normal.jpg"/>
    <s v="1480881385283809282"/>
    <s v="1480881385283809282"/>
    <m/>
    <s v=""/>
    <s v="1480744545025343488"/>
    <s v=""/>
    <s v="1480744545025343488"/>
    <s v="804501241594191872"/>
    <m/>
    <m/>
    <m/>
    <m/>
    <m/>
    <n v="3"/>
    <n v="100"/>
    <n v="0"/>
    <n v="0"/>
    <n v="0"/>
    <n v="0"/>
    <n v="0"/>
    <n v="0"/>
    <n v="3"/>
    <n v="1"/>
    <s v="5"/>
    <s v="5"/>
  </r>
  <r>
    <s v="salam_santun"/>
    <s v="ayanimel"/>
    <m/>
    <m/>
    <m/>
    <m/>
    <m/>
    <m/>
    <m/>
    <m/>
    <s v="No"/>
    <n v="131"/>
    <b v="0"/>
    <m/>
    <s v="Replies to"/>
    <x v="99"/>
    <s v="@AyaniMel Bagus lah klo nol persen,ketimbang gubenur2 sebelumnya mines semua,jauh dari nol."/>
    <n v="0"/>
    <n v="0"/>
    <n v="0"/>
    <n v="0"/>
    <m/>
    <m/>
    <m/>
    <m/>
    <s v="ayanimel"/>
    <m/>
    <m/>
    <s v="Twitter for Android"/>
    <s v="in"/>
    <s v="https://twitter.com/salam_santun/status/1581641229728886789"/>
    <d v="2022-10-16T13:40:29.000"/>
    <d v="2022-10-16T00:00:00.000"/>
    <s v="13:40:29"/>
    <m/>
    <m/>
    <m/>
    <m/>
    <m/>
    <m/>
    <m/>
    <m/>
    <m/>
    <m/>
    <m/>
    <m/>
    <m/>
    <s v="https://pbs.twimg.com/profile_images/1622508599758188544/gYjVd1Sc_normal.jpg"/>
    <s v="1581641229728886789"/>
    <s v="1580901455388868608"/>
    <s v="1303252304301236224"/>
    <s v="1580901455388868608"/>
    <s v=""/>
    <s v=""/>
    <s v="1580901455388868608"/>
    <s v="817726730420953090"/>
    <m/>
    <m/>
    <m/>
    <m/>
    <m/>
    <n v="3"/>
    <n v="21.428571428571427"/>
    <n v="0"/>
    <n v="0"/>
    <n v="0"/>
    <n v="0"/>
    <n v="11"/>
    <n v="78.57142857142857"/>
    <n v="14"/>
    <n v="1"/>
    <s v="30"/>
    <s v="30"/>
  </r>
  <r>
    <s v="esupriatna20"/>
    <s v="fahiraidris"/>
    <m/>
    <m/>
    <m/>
    <m/>
    <m/>
    <m/>
    <m/>
    <m/>
    <s v="No"/>
    <n v="132"/>
    <b v="0"/>
    <m/>
    <s v="Replies to"/>
    <x v="100"/>
    <s v="@fahiraidris Salam nol persen"/>
    <n v="0"/>
    <n v="0"/>
    <n v="0"/>
    <n v="0"/>
    <m/>
    <m/>
    <m/>
    <m/>
    <s v="fahiraidris"/>
    <m/>
    <m/>
    <s v="Twitter for Android"/>
    <s v="in"/>
    <s v="https://twitter.com/esupriatna20/status/1482992605289799680"/>
    <d v="2022-01-17T08:26:04.000"/>
    <d v="2022-01-17T00:00:00.000"/>
    <s v="08:26:04"/>
    <m/>
    <m/>
    <m/>
    <m/>
    <m/>
    <m/>
    <m/>
    <m/>
    <m/>
    <m/>
    <m/>
    <m/>
    <m/>
    <s v="https://pbs.twimg.com/profile_images/1341577639702659072/fJ_5NTff_normal.jpg"/>
    <s v="1482992605289799680"/>
    <s v="1482968293917196291"/>
    <s v="68304724"/>
    <s v="1482968293917196291"/>
    <s v=""/>
    <s v=""/>
    <s v="1482968293917196291"/>
    <s v="1341577020174528512"/>
    <m/>
    <m/>
    <m/>
    <m/>
    <m/>
    <n v="3"/>
    <n v="75"/>
    <n v="0"/>
    <n v="0"/>
    <n v="0"/>
    <n v="0"/>
    <n v="1"/>
    <n v="25"/>
    <n v="4"/>
    <n v="1"/>
    <s v="5"/>
    <s v="5"/>
  </r>
  <r>
    <s v="esupriatna20"/>
    <s v="geloraco"/>
    <m/>
    <m/>
    <m/>
    <m/>
    <m/>
    <m/>
    <m/>
    <m/>
    <s v="No"/>
    <n v="133"/>
    <b v="0"/>
    <m/>
    <s v="Replies to"/>
    <x v="101"/>
    <s v="@geloraco Jadi benar sistem pt ini harus di hapus,salam nol persen"/>
    <n v="0"/>
    <n v="0"/>
    <n v="0"/>
    <n v="0"/>
    <m/>
    <m/>
    <m/>
    <m/>
    <s v="geloraco"/>
    <m/>
    <m/>
    <s v="Twitter for Android"/>
    <s v="in"/>
    <s v="https://twitter.com/esupriatna20/status/1479792989702524932"/>
    <d v="2022-01-08T12:31:56.000"/>
    <d v="2022-01-08T00:00:00.000"/>
    <s v="12:31:56"/>
    <m/>
    <m/>
    <m/>
    <m/>
    <m/>
    <m/>
    <m/>
    <m/>
    <m/>
    <m/>
    <m/>
    <m/>
    <m/>
    <s v="https://pbs.twimg.com/profile_images/1341577639702659072/fJ_5NTff_normal.jpg"/>
    <s v="1479792989702524932"/>
    <s v="1479628745145159681"/>
    <s v="3319260420"/>
    <s v="1479628745145159681"/>
    <s v=""/>
    <s v=""/>
    <s v="1479628745145159681"/>
    <s v="1341577020174528512"/>
    <m/>
    <m/>
    <m/>
    <m/>
    <m/>
    <n v="5"/>
    <n v="41.666666666666664"/>
    <n v="0"/>
    <n v="0"/>
    <n v="0"/>
    <n v="0"/>
    <n v="7"/>
    <n v="58.333333333333336"/>
    <n v="12"/>
    <n v="8"/>
    <s v="5"/>
    <s v="5"/>
  </r>
  <r>
    <s v="lovelyb1e"/>
    <s v="lovelyb1e"/>
    <m/>
    <m/>
    <m/>
    <m/>
    <m/>
    <m/>
    <m/>
    <m/>
    <s v="No"/>
    <n v="134"/>
    <b v="0"/>
    <m/>
    <s v="Tweet"/>
    <x v="102"/>
    <s v="Refly Harun_x000a__x000a_&quot;PT nol persen ... rakyat sudah kehabisan akal dgn putusan MK_x000a_Kalo MK benar2 pengawal konstitusi dia akan membatalkan PT nol .. tapi sepertinya MK adalah kepanjangan tangan dari kekuasaan&quot; https://t.co/jTQWyQ9NKi"/>
    <n v="39"/>
    <n v="98"/>
    <n v="2"/>
    <n v="2"/>
    <m/>
    <m/>
    <m/>
    <m/>
    <m/>
    <s v="https://t.co/jTQWyQ9NKi https://pbs.twimg.com/ext_tw_video_thumb/1486265258822213632/pu/img/qCR7AyrOm0XJjBNj.jpg"/>
    <s v="video"/>
    <s v="Twitter for Android"/>
    <s v="in"/>
    <s v="https://twitter.com/lovelyb1e/status/1486265497721372672"/>
    <d v="2022-01-26T09:11:22.000"/>
    <d v="2022-01-26T00:00:00.000"/>
    <s v="09:11:22"/>
    <b v="0"/>
    <m/>
    <m/>
    <m/>
    <m/>
    <m/>
    <m/>
    <m/>
    <s v="7_1486265258822213632"/>
    <n v="139483"/>
    <m/>
    <m/>
    <m/>
    <s v="https://pbs.twimg.com/ext_tw_video_thumb/1486265258822213632/pu/img/qCR7AyrOm0XJjBNj.jpg"/>
    <s v="1486265497721372672"/>
    <s v="1486265497721372672"/>
    <m/>
    <s v=""/>
    <s v=""/>
    <s v=""/>
    <s v="1486265497721372672"/>
    <s v="1282751327588585473"/>
    <m/>
    <m/>
    <m/>
    <m/>
    <m/>
    <n v="3"/>
    <n v="10"/>
    <n v="0"/>
    <n v="0"/>
    <n v="0"/>
    <n v="0"/>
    <n v="27"/>
    <n v="90"/>
    <n v="30"/>
    <n v="1"/>
    <s v="34"/>
    <s v="34"/>
  </r>
  <r>
    <s v="reihan_djaya"/>
    <s v="mghufro38074283"/>
    <m/>
    <m/>
    <m/>
    <m/>
    <m/>
    <m/>
    <m/>
    <m/>
    <s v="No"/>
    <n v="135"/>
    <b v="1"/>
    <m/>
    <s v="MentionsInReplyTo"/>
    <x v="103"/>
    <s v="@Iwi18297130 @MGhufro38074283 📦 di 🔓 isinya 💩_x000a__x000a_#SalamRevolusiAkhlak_x000a_#SalamNolPersen"/>
    <n v="0"/>
    <n v="0"/>
    <n v="0"/>
    <n v="0"/>
    <m/>
    <s v="salamrevolusiakhlak salamnolpersen"/>
    <m/>
    <m/>
    <s v="iwi18297130 mghufro38074283"/>
    <m/>
    <m/>
    <s v="Twitter for Android"/>
    <s v="in"/>
    <s v="https://twitter.com/reihan_djaya/status/1596172699813879808"/>
    <d v="2022-11-25T16:03:21.000"/>
    <d v="2022-11-25T00:00:00.000"/>
    <s v="16:03:21"/>
    <m/>
    <m/>
    <m/>
    <m/>
    <m/>
    <m/>
    <m/>
    <m/>
    <m/>
    <m/>
    <m/>
    <m/>
    <m/>
    <s v="https://pbs.twimg.com/profile_images/1627012577229438976/zWpj0NFt_normal.jpg"/>
    <s v="1596172699813879808"/>
    <s v="1596120917779787776"/>
    <s v="1512402793969029125"/>
    <s v="1596120917779787776"/>
    <s v=""/>
    <s v=""/>
    <s v="1596120917779787776"/>
    <s v="1568936654718795776"/>
    <m/>
    <m/>
    <m/>
    <m/>
    <m/>
    <m/>
    <m/>
    <m/>
    <m/>
    <m/>
    <m/>
    <m/>
    <m/>
    <m/>
    <n v="1"/>
    <s v="16"/>
    <s v="16"/>
  </r>
  <r>
    <s v="slamet_24wiro"/>
    <s v="msaid_didu"/>
    <m/>
    <m/>
    <m/>
    <m/>
    <m/>
    <m/>
    <m/>
    <m/>
    <s v="No"/>
    <n v="137"/>
    <b v="0"/>
    <m/>
    <s v="Replies to"/>
    <x v="104"/>
    <s v="@msaid_didu Salam NOL PERSEN 👌👌👌"/>
    <n v="0"/>
    <n v="0"/>
    <n v="0"/>
    <n v="0"/>
    <m/>
    <m/>
    <m/>
    <m/>
    <s v="msaid_didu"/>
    <m/>
    <m/>
    <s v="Twitter for Android"/>
    <s v="in"/>
    <s v="https://twitter.com/slamet_24wiro/status/1543096380809310208"/>
    <d v="2022-07-02T04:57:01.000"/>
    <d v="2022-07-02T00:00:00.000"/>
    <s v="04:57:01"/>
    <m/>
    <m/>
    <m/>
    <m/>
    <m/>
    <m/>
    <m/>
    <m/>
    <m/>
    <m/>
    <m/>
    <m/>
    <m/>
    <s v="https://pbs.twimg.com/profile_images/1592850418349899776/6h41e7zV_normal.jpg"/>
    <s v="1543096380809310208"/>
    <s v="1542416829364436992"/>
    <s v="1117990249806721024"/>
    <s v="1542416829364436992"/>
    <s v=""/>
    <s v=""/>
    <s v="1542416829364436992"/>
    <n v="1417516794"/>
    <m/>
    <m/>
    <m/>
    <m/>
    <m/>
    <n v="3"/>
    <n v="75"/>
    <n v="0"/>
    <n v="0"/>
    <n v="0"/>
    <n v="0"/>
    <n v="1"/>
    <n v="25"/>
    <n v="4"/>
    <n v="1"/>
    <s v="2"/>
    <s v="2"/>
  </r>
  <r>
    <s v="hudsuharg"/>
    <s v="partaigolkar"/>
    <m/>
    <m/>
    <m/>
    <m/>
    <m/>
    <m/>
    <m/>
    <m/>
    <s v="No"/>
    <n v="138"/>
    <b v="1"/>
    <m/>
    <s v="MentionsInReplyTo"/>
    <x v="105"/>
    <s v="@EnggalPamukty @vivayogamauladi @Official_PAN Semua bergerak spt bola es semakin besar menjadi gerakan penyadaran masyarakat menyelamatkan negeri ini yg spt kesirep mimpi panjang ....SALAM NOL PERSEN ...@fadlizon @PKSejahtera @Gerindra @PartaiGolkar @fahiraidris @DPDRI"/>
    <n v="0"/>
    <n v="0"/>
    <n v="0"/>
    <n v="0"/>
    <m/>
    <m/>
    <m/>
    <m/>
    <s v="vivayogamauladi official_pan fadlizon pksejahtera gerindra partaigolkar fahiraidris dpdri"/>
    <m/>
    <m/>
    <s v="Twitter for Android"/>
    <s v="in"/>
    <s v="https://twitter.com/hudsuharg/status/1470498960720920576"/>
    <d v="2021-12-13T21:00:47.000"/>
    <d v="2021-12-13T00:00:00.000"/>
    <s v="21:00:47"/>
    <m/>
    <m/>
    <m/>
    <m/>
    <m/>
    <m/>
    <m/>
    <m/>
    <m/>
    <m/>
    <m/>
    <m/>
    <m/>
    <s v="https://pbs.twimg.com/profile_images/787179474219511810/khs5nh5C_normal.jpg"/>
    <s v="1470498960720920576"/>
    <s v="1470226920117714949"/>
    <s v="1142030368742133760"/>
    <s v="1470226920117714949"/>
    <s v=""/>
    <s v=""/>
    <s v="1470226920117714949"/>
    <s v="787175266908934144"/>
    <m/>
    <m/>
    <m/>
    <m/>
    <m/>
    <m/>
    <m/>
    <m/>
    <m/>
    <m/>
    <m/>
    <m/>
    <m/>
    <m/>
    <n v="1"/>
    <s v="3"/>
    <s v="3"/>
  </r>
  <r>
    <s v="hudsuharg"/>
    <s v="tamsilinrung"/>
    <m/>
    <m/>
    <m/>
    <m/>
    <m/>
    <m/>
    <m/>
    <m/>
    <s v="No"/>
    <n v="142"/>
    <b v="0"/>
    <m/>
    <s v="MentionsInReplyTo"/>
    <x v="106"/>
    <s v="@fahiraidris @dpdridkijakarta @tamsilinrung Mantap ibu salam NOL persen"/>
    <n v="0"/>
    <n v="0"/>
    <n v="0"/>
    <n v="0"/>
    <m/>
    <m/>
    <m/>
    <m/>
    <s v="fahiraidris tamsilinrung"/>
    <m/>
    <m/>
    <s v="Twitter for Android"/>
    <s v="in"/>
    <s v="https://twitter.com/hudsuharg/status/1475846674966671364"/>
    <d v="2021-12-28T15:10:41.000"/>
    <d v="2021-12-28T00:00:00.000"/>
    <s v="15:10:41"/>
    <m/>
    <m/>
    <m/>
    <m/>
    <m/>
    <m/>
    <m/>
    <m/>
    <m/>
    <m/>
    <m/>
    <m/>
    <m/>
    <s v="https://pbs.twimg.com/profile_images/787179474219511810/khs5nh5C_normal.jpg"/>
    <s v="1475846674966671364"/>
    <s v="1475714275498860545"/>
    <s v="68304724"/>
    <s v="1475714275498860545"/>
    <s v=""/>
    <s v=""/>
    <s v="1475714275498860545"/>
    <s v="787175266908934144"/>
    <m/>
    <m/>
    <m/>
    <m/>
    <m/>
    <n v="4"/>
    <n v="50"/>
    <n v="0"/>
    <n v="0"/>
    <n v="0"/>
    <n v="0"/>
    <n v="4"/>
    <n v="50"/>
    <n v="8"/>
    <n v="1"/>
    <s v="3"/>
    <s v="3"/>
  </r>
  <r>
    <s v="hudsuharg"/>
    <s v="knpiharis"/>
    <m/>
    <m/>
    <m/>
    <m/>
    <m/>
    <m/>
    <m/>
    <m/>
    <s v="No"/>
    <n v="143"/>
    <b v="1"/>
    <m/>
    <s v="MentionsInReplyTo"/>
    <x v="107"/>
    <s v="@sutanmangarahrp Negeri ini seperti kesirep...penuh mimpi ayo lekas bangun @knpiharis kembalikan hak rakyat berdemokrasi SALAM NOL PERSEN"/>
    <n v="0"/>
    <n v="0"/>
    <n v="1"/>
    <n v="0"/>
    <m/>
    <m/>
    <m/>
    <m/>
    <s v="sutanmangarahrp knpiharis"/>
    <m/>
    <m/>
    <s v="Twitter for Android"/>
    <s v="in"/>
    <s v="https://twitter.com/hudsuharg/status/1471136459255996426"/>
    <d v="2021-12-15T15:13:58.000"/>
    <d v="2021-12-15T00:00:00.000"/>
    <s v="15:13:58"/>
    <m/>
    <m/>
    <m/>
    <m/>
    <m/>
    <m/>
    <m/>
    <m/>
    <m/>
    <m/>
    <m/>
    <m/>
    <m/>
    <s v="https://pbs.twimg.com/profile_images/787179474219511810/khs5nh5C_normal.jpg"/>
    <s v="1471136459255996426"/>
    <s v="1471115337420926977"/>
    <s v="1227719379103571968"/>
    <s v="1471115337420926977"/>
    <s v=""/>
    <s v=""/>
    <s v="1471115337420926977"/>
    <s v="787175266908934144"/>
    <m/>
    <m/>
    <m/>
    <m/>
    <m/>
    <m/>
    <m/>
    <m/>
    <m/>
    <m/>
    <m/>
    <m/>
    <m/>
    <m/>
    <n v="1"/>
    <s v="3"/>
    <s v="3"/>
  </r>
  <r>
    <s v="hudsuharg"/>
    <s v="knpimediacentre"/>
    <m/>
    <m/>
    <m/>
    <m/>
    <m/>
    <m/>
    <m/>
    <m/>
    <s v="No"/>
    <n v="145"/>
    <b v="1"/>
    <m/>
    <s v="MentionsInReplyTo"/>
    <x v="108"/>
    <s v="@oppositesurau @knpiharis bang mestinya @KNPIMediaCentre beramai ramai gugat PT karena akan mematikan genarasi baru Indonesia yang cemerlang nggak bs jadi presiden . SALAM NOL PERSEN"/>
    <n v="2"/>
    <n v="1"/>
    <n v="0"/>
    <n v="0"/>
    <m/>
    <m/>
    <m/>
    <m/>
    <s v="knpiharis knpimediacentre"/>
    <m/>
    <m/>
    <s v="Twitter for Android"/>
    <s v="in"/>
    <s v="https://twitter.com/hudsuharg/status/1471132284602368000"/>
    <d v="2021-12-15T14:57:23.000"/>
    <d v="2021-12-15T00:00:00.000"/>
    <s v="14:57:23"/>
    <m/>
    <m/>
    <m/>
    <m/>
    <m/>
    <m/>
    <m/>
    <m/>
    <m/>
    <m/>
    <m/>
    <m/>
    <m/>
    <s v="https://pbs.twimg.com/profile_images/787179474219511810/khs5nh5C_normal.jpg"/>
    <s v="1471132284602368000"/>
    <s v="1470975868184920066"/>
    <s v="1433433068283392007"/>
    <s v="1470975868184920066"/>
    <s v=""/>
    <s v=""/>
    <s v="1470975868184920066"/>
    <s v="787175266908934144"/>
    <m/>
    <m/>
    <m/>
    <m/>
    <m/>
    <m/>
    <m/>
    <m/>
    <m/>
    <m/>
    <m/>
    <m/>
    <m/>
    <m/>
    <n v="1"/>
    <s v="3"/>
    <s v="3"/>
  </r>
  <r>
    <s v="hudsuharg"/>
    <s v="jansen_jsp"/>
    <m/>
    <m/>
    <m/>
    <m/>
    <m/>
    <m/>
    <m/>
    <m/>
    <s v="No"/>
    <n v="147"/>
    <b v="0"/>
    <m/>
    <s v="Replies to"/>
    <x v="109"/>
    <s v="@jansen_jsp Salam PT NOL persen kalo ingin negeri ini punya pemimpin berkualitas memang pilihan rakyat bukan pilihan oligarki"/>
    <n v="0"/>
    <n v="0"/>
    <n v="0"/>
    <n v="0"/>
    <m/>
    <m/>
    <m/>
    <m/>
    <s v="jansen_jsp"/>
    <m/>
    <m/>
    <s v="Twitter for Android"/>
    <s v="in"/>
    <s v="https://twitter.com/hudsuharg/status/1490175660689883136"/>
    <d v="2022-02-06T04:08:58.000"/>
    <d v="2022-02-06T00:00:00.000"/>
    <s v="04:08:58"/>
    <m/>
    <m/>
    <m/>
    <m/>
    <m/>
    <m/>
    <m/>
    <m/>
    <m/>
    <m/>
    <m/>
    <m/>
    <m/>
    <s v="https://pbs.twimg.com/profile_images/787179474219511810/khs5nh5C_normal.jpg"/>
    <s v="1490175660689883136"/>
    <s v="1490160582804504576"/>
    <s v="856934112250126336"/>
    <s v="1490160582804504576"/>
    <s v=""/>
    <s v=""/>
    <s v="1490160582804504576"/>
    <s v="787175266908934144"/>
    <m/>
    <m/>
    <m/>
    <m/>
    <m/>
    <n v="4"/>
    <n v="22.22222222222222"/>
    <n v="0"/>
    <n v="0"/>
    <n v="0"/>
    <n v="0"/>
    <n v="14"/>
    <n v="77.77777777777777"/>
    <n v="18"/>
    <n v="1"/>
    <s v="3"/>
    <s v="3"/>
  </r>
  <r>
    <s v="hudsuharg"/>
    <s v="uyokback"/>
    <m/>
    <m/>
    <m/>
    <m/>
    <m/>
    <m/>
    <m/>
    <m/>
    <s v="No"/>
    <n v="148"/>
    <b v="0"/>
    <m/>
    <s v="Replies to"/>
    <x v="110"/>
    <s v="@UyokBack SALAM NOL PERSEN PT ...@ReflyHZ  @RamliRizal"/>
    <n v="0"/>
    <n v="1"/>
    <n v="0"/>
    <n v="0"/>
    <m/>
    <m/>
    <m/>
    <m/>
    <s v="uyokback reflyhz ramlirizal"/>
    <m/>
    <m/>
    <s v="Twitter for Android"/>
    <s v="in"/>
    <s v="https://twitter.com/hudsuharg/status/1469847013780967424"/>
    <d v="2021-12-12T01:50:11.000"/>
    <d v="2021-12-12T00:00:00.000"/>
    <s v="01:50:11"/>
    <m/>
    <m/>
    <m/>
    <m/>
    <m/>
    <m/>
    <m/>
    <m/>
    <m/>
    <m/>
    <m/>
    <m/>
    <m/>
    <s v="https://pbs.twimg.com/profile_images/787179474219511810/khs5nh5C_normal.jpg"/>
    <s v="1469847013780967424"/>
    <s v="1469833891997372416"/>
    <s v="907897495044317185"/>
    <s v="1469833891997372416"/>
    <s v=""/>
    <s v=""/>
    <s v="1469833891997372416"/>
    <s v="787175266908934144"/>
    <m/>
    <m/>
    <m/>
    <m/>
    <m/>
    <n v="3"/>
    <n v="42.857142857142854"/>
    <n v="0"/>
    <n v="0"/>
    <n v="0"/>
    <n v="0"/>
    <n v="4"/>
    <n v="57.142857142857146"/>
    <n v="7"/>
    <n v="1"/>
    <s v="3"/>
    <s v="3"/>
  </r>
  <r>
    <s v="hudsuharg"/>
    <s v="erickthohir"/>
    <m/>
    <m/>
    <m/>
    <m/>
    <m/>
    <m/>
    <m/>
    <m/>
    <s v="No"/>
    <n v="149"/>
    <b v="1"/>
    <m/>
    <s v="MentionsInReplyTo"/>
    <x v="111"/>
    <s v="@dimasakbarz @ZUL_Hasan @aniesbaswedan @ridwankamil @Official_PAN @erickthohir Berharap nyata @Official_PAN sekarang rakyat terbelah dg isu Rasial ; Agama ; Suku  begitu nyata dan parlemen spt berdiam diri . #SalamNolPersen"/>
    <n v="0"/>
    <n v="0"/>
    <n v="0"/>
    <n v="0"/>
    <m/>
    <s v="salamnolpersen"/>
    <m/>
    <m/>
    <s v="dimasakbarz zul_hasan aniesbaswedan ridwankamil official_pan erickthohir official_pan"/>
    <m/>
    <m/>
    <s v="Twitter for Android"/>
    <s v="in"/>
    <s v="https://twitter.com/hudsuharg/status/1487647147185303554"/>
    <d v="2022-01-30T04:41:33.000"/>
    <d v="2022-01-30T00:00:00.000"/>
    <s v="04:41:33"/>
    <m/>
    <m/>
    <m/>
    <m/>
    <m/>
    <m/>
    <m/>
    <m/>
    <m/>
    <m/>
    <m/>
    <m/>
    <m/>
    <s v="https://pbs.twimg.com/profile_images/787179474219511810/khs5nh5C_normal.jpg"/>
    <s v="1487647147185303554"/>
    <s v="1487601397923446784"/>
    <s v="60570578"/>
    <s v="1487601397923446784"/>
    <s v=""/>
    <s v=""/>
    <s v="1487601397923446784"/>
    <s v="787175266908934144"/>
    <m/>
    <m/>
    <m/>
    <m/>
    <m/>
    <m/>
    <m/>
    <m/>
    <m/>
    <m/>
    <m/>
    <m/>
    <m/>
    <m/>
    <n v="1"/>
    <s v="3"/>
    <s v="3"/>
  </r>
  <r>
    <s v="sahabat_bangsa"/>
    <s v="sahabat_bangsa"/>
    <m/>
    <m/>
    <m/>
    <m/>
    <m/>
    <m/>
    <m/>
    <m/>
    <s v="No"/>
    <n v="155"/>
    <b v="1"/>
    <m/>
    <s v="Tweet"/>
    <x v="112"/>
    <s v="80,4% Masyarakat Jatim Ingin Presidential Threshold 0%_x000a__x000a_https://t.co/Lyth9ApJoD"/>
    <n v="436"/>
    <n v="1661"/>
    <n v="88"/>
    <n v="18"/>
    <m/>
    <m/>
    <s v="https://news.detik.com/berita/d-5860072/survei-arci-804-masyarakat-jatim-ingin-presidential-threshold-0"/>
    <s v="detik.com"/>
    <m/>
    <m/>
    <m/>
    <s v="Twitter for Android"/>
    <s v="in"/>
    <s v="https://twitter.com/sahabat_bangsa/status/1474943167170371584"/>
    <d v="2021-12-26T03:20:28.000"/>
    <d v="2021-12-26T00:00:00.000"/>
    <s v="03:20:28"/>
    <b v="0"/>
    <m/>
    <m/>
    <m/>
    <m/>
    <m/>
    <m/>
    <m/>
    <m/>
    <m/>
    <m/>
    <m/>
    <m/>
    <s v="https://pbs.twimg.com/profile_images/1576435843790610433/sDXgLsKO_normal.jpg"/>
    <s v="1474943167170371584"/>
    <s v="1474943167170371584"/>
    <m/>
    <s v=""/>
    <s v=""/>
    <s v=""/>
    <s v="1474943167170371584"/>
    <n v="1168746690"/>
    <m/>
    <m/>
    <m/>
    <m/>
    <m/>
    <n v="1"/>
    <n v="12.5"/>
    <n v="0"/>
    <n v="0"/>
    <n v="0"/>
    <n v="0"/>
    <n v="7"/>
    <n v="87.5"/>
    <n v="8"/>
    <n v="1"/>
    <s v="6"/>
    <s v="6"/>
  </r>
  <r>
    <s v="hudsuharg"/>
    <s v="sahabat_bangsa"/>
    <m/>
    <m/>
    <m/>
    <m/>
    <m/>
    <m/>
    <m/>
    <m/>
    <s v="No"/>
    <n v="157"/>
    <b v="0"/>
    <m/>
    <s v="Replies to"/>
    <x v="113"/>
    <s v="@Sahabat_Bangsa SALAM NOL PERSEN"/>
    <n v="0"/>
    <n v="1"/>
    <n v="0"/>
    <n v="0"/>
    <m/>
    <m/>
    <m/>
    <m/>
    <s v="sahabat_bangsa"/>
    <m/>
    <m/>
    <s v="Twitter for Android"/>
    <s v="in"/>
    <s v="https://twitter.com/hudsuharg/status/1477928289683398656"/>
    <d v="2022-01-03T09:02:17.000"/>
    <d v="2022-01-03T00:00:00.000"/>
    <s v="09:02:17"/>
    <m/>
    <m/>
    <m/>
    <m/>
    <m/>
    <m/>
    <m/>
    <m/>
    <m/>
    <m/>
    <m/>
    <m/>
    <m/>
    <s v="https://pbs.twimg.com/profile_images/787179474219511810/khs5nh5C_normal.jpg"/>
    <s v="1477928289683398656"/>
    <s v="1477873379856183297"/>
    <s v="1168746690"/>
    <s v="1477873379856183297"/>
    <s v=""/>
    <s v=""/>
    <s v="1477873379856183297"/>
    <s v="787175266908934144"/>
    <m/>
    <m/>
    <m/>
    <m/>
    <m/>
    <n v="3"/>
    <n v="75"/>
    <n v="0"/>
    <n v="0"/>
    <n v="0"/>
    <n v="0"/>
    <n v="1"/>
    <n v="25"/>
    <n v="4"/>
    <n v="1"/>
    <s v="3"/>
    <s v="6"/>
  </r>
  <r>
    <s v="hudsuharg"/>
    <s v="yanharahap"/>
    <m/>
    <m/>
    <m/>
    <m/>
    <m/>
    <m/>
    <m/>
    <m/>
    <s v="No"/>
    <n v="159"/>
    <b v="0"/>
    <m/>
    <s v="Replies to"/>
    <x v="114"/>
    <s v="@YanHarahap Rakyat mendukung @DPDRI Salam NOL persen"/>
    <n v="0"/>
    <n v="0"/>
    <n v="0"/>
    <n v="0"/>
    <m/>
    <m/>
    <m/>
    <m/>
    <s v="yanharahap dpdri"/>
    <m/>
    <m/>
    <s v="Twitter for Android"/>
    <s v="in"/>
    <s v="https://twitter.com/hudsuharg/status/1495404226582773763"/>
    <d v="2022-02-20T14:25:25.000"/>
    <d v="2022-02-20T00:00:00.000"/>
    <s v="14:25:25"/>
    <m/>
    <m/>
    <m/>
    <m/>
    <m/>
    <m/>
    <m/>
    <m/>
    <m/>
    <m/>
    <m/>
    <m/>
    <m/>
    <s v="https://pbs.twimg.com/profile_images/787179474219511810/khs5nh5C_normal.jpg"/>
    <s v="1495404226582773763"/>
    <s v="1495199195015573504"/>
    <s v="61465123"/>
    <s v="1495199195015573504"/>
    <s v=""/>
    <s v=""/>
    <s v="1495199195015573504"/>
    <s v="787175266908934144"/>
    <m/>
    <m/>
    <m/>
    <m/>
    <m/>
    <n v="4"/>
    <n v="57.142857142857146"/>
    <n v="0"/>
    <n v="0"/>
    <n v="0"/>
    <n v="0"/>
    <n v="3"/>
    <n v="42.857142857142854"/>
    <n v="7"/>
    <n v="1"/>
    <s v="3"/>
    <s v="3"/>
  </r>
  <r>
    <s v="hudsuharg"/>
    <s v="officialmkri"/>
    <m/>
    <m/>
    <m/>
    <m/>
    <m/>
    <m/>
    <m/>
    <m/>
    <s v="No"/>
    <n v="161"/>
    <b v="1"/>
    <m/>
    <s v="MentionsInReplyTo"/>
    <x v="115"/>
    <s v="@hnurwahid Langsung jd pemohon JR ke @officialMKRI gus ...apalagi kalo @PKSejahtera yg resmi memohon JR legal standingnya sangat kuat . SALAM NOL PERSEN"/>
    <n v="0"/>
    <n v="0"/>
    <n v="0"/>
    <n v="0"/>
    <m/>
    <m/>
    <m/>
    <m/>
    <s v="hnurwahid officialmkri pksejahtera"/>
    <m/>
    <m/>
    <s v="Twitter for Android"/>
    <s v="in"/>
    <s v="https://twitter.com/hudsuharg/status/1479975612764753922"/>
    <d v="2022-01-09T00:37:37.000"/>
    <d v="2022-01-09T00:00:00.000"/>
    <s v="00:37:37"/>
    <m/>
    <m/>
    <m/>
    <m/>
    <m/>
    <m/>
    <m/>
    <m/>
    <m/>
    <m/>
    <m/>
    <m/>
    <m/>
    <s v="https://pbs.twimg.com/profile_images/787179474219511810/khs5nh5C_normal.jpg"/>
    <s v="1479975612764753922"/>
    <s v="1479746402603257857"/>
    <s v="86012022"/>
    <s v="1479746402603257857"/>
    <s v=""/>
    <s v=""/>
    <s v="1479746402603257857"/>
    <s v="787175266908934144"/>
    <m/>
    <m/>
    <m/>
    <m/>
    <m/>
    <m/>
    <m/>
    <m/>
    <m/>
    <m/>
    <m/>
    <m/>
    <m/>
    <m/>
    <n v="1"/>
    <s v="3"/>
    <s v="3"/>
  </r>
  <r>
    <s v="hudsuharg"/>
    <s v="bemui_official"/>
    <m/>
    <m/>
    <m/>
    <m/>
    <m/>
    <m/>
    <m/>
    <m/>
    <s v="No"/>
    <n v="162"/>
    <b v="0"/>
    <m/>
    <s v="MentionsInReplyTo"/>
    <x v="116"/>
    <s v="@BEMUI_Official SALAM NOL PERSEN ...ayo @BEMUI_Official  ikut beramai ramai ke MK dan DPR hapus PT supaya anak2 bangsa terbuka menjadi pemimpin negeri ini"/>
    <n v="0"/>
    <n v="0"/>
    <n v="0"/>
    <n v="0"/>
    <m/>
    <m/>
    <m/>
    <m/>
    <s v="bemui_official bemui_official"/>
    <m/>
    <m/>
    <s v="Twitter for Android"/>
    <s v="in"/>
    <s v="https://twitter.com/hudsuharg/status/1471139886400892933"/>
    <d v="2021-12-15T15:27:36.000"/>
    <d v="2021-12-15T00:00:00.000"/>
    <s v="15:27:36"/>
    <m/>
    <m/>
    <m/>
    <m/>
    <m/>
    <m/>
    <m/>
    <m/>
    <m/>
    <m/>
    <m/>
    <m/>
    <m/>
    <s v="https://pbs.twimg.com/profile_images/787179474219511810/khs5nh5C_normal.jpg"/>
    <s v="1471139886400892933"/>
    <s v="1471089323596419073"/>
    <s v="246221699"/>
    <s v="1471089323596419073"/>
    <s v=""/>
    <s v=""/>
    <s v="1471089323596419073"/>
    <s v="787175266908934144"/>
    <m/>
    <m/>
    <m/>
    <m/>
    <m/>
    <n v="5"/>
    <n v="21.73913043478261"/>
    <n v="0"/>
    <n v="0"/>
    <n v="0"/>
    <n v="0"/>
    <n v="18"/>
    <n v="78.26086956521739"/>
    <n v="23"/>
    <n v="8"/>
    <s v="3"/>
    <s v="3"/>
  </r>
  <r>
    <s v="akmal16982665"/>
    <s v="akmal16982665"/>
    <m/>
    <m/>
    <m/>
    <m/>
    <m/>
    <m/>
    <m/>
    <m/>
    <s v="No"/>
    <n v="167"/>
    <b v="1"/>
    <m/>
    <s v="Tweet"/>
    <x v="117"/>
    <s v="#SalamNOLpersen_x000a_#SalamNOLpersen https://t.co/JvxUvhtECp"/>
    <n v="0"/>
    <n v="0"/>
    <n v="0"/>
    <n v="0"/>
    <m/>
    <s v="salamnolpersen salamnolpersen"/>
    <m/>
    <m/>
    <m/>
    <s v="https://t.co/JvxUvhtECp https://pbs.twimg.com/media/FIvfPd5UYAA6OCS.jpg"/>
    <s v="photo"/>
    <s v="Twitter for Android"/>
    <s v="qme"/>
    <s v="https://twitter.com/akmal16982665/status/1480522365876379650"/>
    <d v="2022-01-10T12:50:13.000"/>
    <d v="2022-01-10T00:00:00.000"/>
    <s v="12:50:13"/>
    <b v="0"/>
    <m/>
    <m/>
    <m/>
    <m/>
    <m/>
    <m/>
    <m/>
    <s v="3_1480522359337410560"/>
    <m/>
    <m/>
    <m/>
    <m/>
    <s v="https://pbs.twimg.com/media/FIvfPd5UYAA6OCS.jpg"/>
    <s v="1480522365876379650"/>
    <s v="1480522365876379650"/>
    <m/>
    <s v=""/>
    <s v=""/>
    <s v=""/>
    <s v="1480522365876379650"/>
    <s v="1391665671398858752"/>
    <m/>
    <m/>
    <m/>
    <m/>
    <m/>
    <n v="0"/>
    <n v="0"/>
    <n v="0"/>
    <n v="0"/>
    <n v="0"/>
    <n v="0"/>
    <n v="2"/>
    <n v="100"/>
    <n v="2"/>
    <n v="1"/>
    <s v="4"/>
    <s v="4"/>
  </r>
  <r>
    <s v="sindonews"/>
    <s v="sindonews"/>
    <m/>
    <m/>
    <m/>
    <m/>
    <m/>
    <m/>
    <m/>
    <m/>
    <s v="No"/>
    <n v="168"/>
    <b v="0"/>
    <m/>
    <s v="Tweet"/>
    <x v="118"/>
    <s v="Daftarkan Gugatan Presidential Threshold ke MK, Refly Harun dan Ferry Juliantono: Salam Nol Persen_x000a__x000a_ #Sindonews #BukanBeritaBiasa .https://t.co/pthEJ5R5S8"/>
    <n v="3"/>
    <n v="4"/>
    <n v="0"/>
    <n v="0"/>
    <m/>
    <s v="sindonews bukanberitabiasa"/>
    <s v="https://nasional.sindonews.com/read/621377/12/daftarkan-gugatan-presidential-threshold-ke-mk-refly-harun-dan-ferry-juliantono-salam-nol-persen-1638875579"/>
    <s v="sindonews.com"/>
    <m/>
    <m/>
    <m/>
    <s v="SINDOnews"/>
    <s v="in"/>
    <s v="https://twitter.com/sindonews/status/1468190384509440001"/>
    <d v="2021-12-07T12:07:19.000"/>
    <d v="2021-12-07T00:00:00.000"/>
    <s v="12:07:19"/>
    <b v="0"/>
    <m/>
    <m/>
    <m/>
    <m/>
    <m/>
    <m/>
    <m/>
    <m/>
    <m/>
    <m/>
    <m/>
    <m/>
    <s v="https://pbs.twimg.com/profile_images/1657283286463582209/-8HSjERq_normal.jpg"/>
    <s v="1468190384509440001"/>
    <s v="1468190384509440001"/>
    <m/>
    <s v=""/>
    <s v=""/>
    <s v=""/>
    <s v="1468190384509440001"/>
    <n v="231355136"/>
    <m/>
    <m/>
    <m/>
    <m/>
    <m/>
    <n v="3"/>
    <n v="15"/>
    <n v="1"/>
    <n v="5"/>
    <n v="0"/>
    <n v="0"/>
    <n v="16"/>
    <n v="80"/>
    <n v="20"/>
    <n v="1"/>
    <s v="4"/>
    <s v="4"/>
  </r>
  <r>
    <s v="nyaiibubu"/>
    <s v="nyaiibubu"/>
    <m/>
    <m/>
    <m/>
    <m/>
    <m/>
    <m/>
    <m/>
    <m/>
    <s v="No"/>
    <n v="169"/>
    <b v="0"/>
    <m/>
    <s v="Tweet"/>
    <x v="119"/>
    <s v="Kelakuan pendukung Anies yang menggunakan nol persen dari nol persen kemampuan otaknya...😤_x000a_Salam waras sobat  ..💃💃💃 https://t.co/zWpg3Um7mR"/>
    <n v="6"/>
    <n v="24"/>
    <n v="5"/>
    <n v="0"/>
    <m/>
    <m/>
    <m/>
    <m/>
    <m/>
    <s v="https://t.co/zWpg3Um7mR https://pbs.twimg.com/media/FhwKbW7aAAUEZhN.jpg"/>
    <s v="photo"/>
    <s v="Twitter for Android"/>
    <s v="in"/>
    <s v="https://twitter.com/nyaiibubu/status/1593159845322297344"/>
    <d v="2022-11-17T08:31:21.000"/>
    <d v="2022-11-17T00:00:00.000"/>
    <s v="08:31:21"/>
    <b v="0"/>
    <m/>
    <m/>
    <m/>
    <m/>
    <m/>
    <m/>
    <m/>
    <s v="3_1593159833309806597"/>
    <m/>
    <m/>
    <m/>
    <m/>
    <s v="https://pbs.twimg.com/media/FhwKbW7aAAUEZhN.jpg"/>
    <s v="1593159845322297344"/>
    <s v="1593159845322297344"/>
    <m/>
    <s v=""/>
    <s v=""/>
    <s v=""/>
    <s v="1593159845322297344"/>
    <s v="1219890224936783874"/>
    <m/>
    <m/>
    <m/>
    <m/>
    <m/>
    <n v="6"/>
    <n v="40"/>
    <n v="0"/>
    <n v="0"/>
    <n v="0"/>
    <n v="0"/>
    <n v="9"/>
    <n v="60"/>
    <n v="15"/>
    <n v="1"/>
    <s v="4"/>
    <s v="4"/>
  </r>
  <r>
    <s v="mdy_asmara1701"/>
    <s v="mdy_asmara1701"/>
    <m/>
    <m/>
    <m/>
    <m/>
    <m/>
    <m/>
    <m/>
    <m/>
    <s v="No"/>
    <n v="170"/>
    <b v="1"/>
    <m/>
    <s v="Tweet"/>
    <x v="120"/>
    <s v="Baru pak Anies yang tegas komitmen nih!_x000a__x000a_Anies Prioritaskan Pengesahan RUU Perampasan Aset Jika Terpilih Presiden_x000a_https://t.co/pdESPMC1fr"/>
    <n v="264"/>
    <n v="855"/>
    <n v="353"/>
    <n v="47"/>
    <n v="29203"/>
    <m/>
    <s v="https://mediaindonesia.com/politik-dan-hukum/611063/anies-prioritaskan-pengesahan-ruu-perampasan-aset-jika-terpilih-presiden"/>
    <s v="mediaindonesia.com"/>
    <m/>
    <m/>
    <m/>
    <s v="Twitter for Android"/>
    <s v="in"/>
    <s v="https://twitter.com/mdy_asmara1701/status/1703636295501976057"/>
    <d v="2023-09-18T05:05:19.000"/>
    <d v="2023-09-18T00:00:00.000"/>
    <s v="05:05:19"/>
    <b v="0"/>
    <m/>
    <m/>
    <m/>
    <m/>
    <m/>
    <m/>
    <m/>
    <m/>
    <m/>
    <m/>
    <m/>
    <m/>
    <s v="https://pbs.twimg.com/profile_images/1603554732202553345/n_kziDFc_normal.jpg"/>
    <s v="1703636295501976057"/>
    <s v="1703636295501976057"/>
    <m/>
    <s v=""/>
    <s v=""/>
    <s v=""/>
    <s v="1703636295501976057"/>
    <s v="1334853481019056128"/>
    <m/>
    <m/>
    <m/>
    <m/>
    <m/>
    <n v="0"/>
    <n v="0"/>
    <n v="0"/>
    <n v="0"/>
    <n v="0"/>
    <n v="0"/>
    <n v="16"/>
    <n v="100"/>
    <n v="16"/>
    <n v="1"/>
    <s v="5"/>
    <s v="5"/>
  </r>
  <r>
    <s v="bijaksan4"/>
    <s v="listyosigitp"/>
    <m/>
    <m/>
    <m/>
    <m/>
    <m/>
    <m/>
    <m/>
    <m/>
    <s v="No"/>
    <n v="171"/>
    <b v="1"/>
    <m/>
    <s v="MentionsInReplyTo"/>
    <x v="121"/>
    <s v="@Nicho_Silalahi @ListyoSigitP Wisata masa lalu saya tetap semangat bang _x000a_#Salamnolpersen"/>
    <n v="0"/>
    <n v="0"/>
    <n v="0"/>
    <n v="0"/>
    <m/>
    <s v="salamnolpersen"/>
    <m/>
    <m/>
    <s v="nicho_silalahi listyosigitp"/>
    <m/>
    <m/>
    <s v="Twitter for Android"/>
    <s v="in"/>
    <s v="https://twitter.com/bijaksan4/status/1547181825969115136"/>
    <d v="2022-07-13T11:31:07.000"/>
    <d v="2022-07-13T00:00:00.000"/>
    <s v="11:31:07"/>
    <m/>
    <m/>
    <m/>
    <m/>
    <m/>
    <m/>
    <m/>
    <m/>
    <m/>
    <m/>
    <m/>
    <m/>
    <m/>
    <s v="https://pbs.twimg.com/profile_images/1726924426342768641/kyHaxtKr_normal.jpg"/>
    <s v="1547181825969115136"/>
    <s v="1547045354763603968"/>
    <s v="75519742"/>
    <s v="1547045354763603968"/>
    <s v=""/>
    <s v=""/>
    <s v="1547045354763603968"/>
    <s v="1267950436297785348"/>
    <m/>
    <m/>
    <m/>
    <m/>
    <m/>
    <n v="1"/>
    <n v="10"/>
    <n v="0"/>
    <n v="0"/>
    <n v="0"/>
    <n v="0"/>
    <n v="9"/>
    <n v="90"/>
    <n v="10"/>
    <n v="1"/>
    <s v="12"/>
    <s v="12"/>
  </r>
  <r>
    <s v="s_cintanirmala"/>
    <s v="molfina14"/>
    <m/>
    <m/>
    <m/>
    <m/>
    <m/>
    <m/>
    <m/>
    <m/>
    <s v="No"/>
    <n v="173"/>
    <b v="1"/>
    <m/>
    <s v="MentionsInReplyTo"/>
    <x v="122"/>
    <s v="@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_x000a_Percepat Pemilu Rakyat ingin Cepat Punya Perubahan , Yg Lebih Baik_x000a__x000a_#ReferendumMakzulkanJokowi_x000a__x000a_#ReferendumMakzulkanJokowi"/>
    <n v="12"/>
    <n v="17"/>
    <n v="1"/>
    <n v="0"/>
    <n v="134"/>
    <s v="referendummakzulkanjokowi referendummakzulkanjokowi"/>
    <m/>
    <m/>
    <s v="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
    <m/>
    <m/>
    <s v="Twitter for iPhone"/>
    <s v="in"/>
    <s v="https://twitter.com/s_cintanirmala/status/1603709587341074433"/>
    <d v="2022-12-16T11:12:15.000"/>
    <d v="2022-12-16T00:00:00.000"/>
    <s v="11:12:15"/>
    <m/>
    <m/>
    <m/>
    <m/>
    <m/>
    <m/>
    <m/>
    <m/>
    <m/>
    <m/>
    <m/>
    <m/>
    <m/>
    <s v="https://pbs.twimg.com/profile_images/1562936385258266625/MwfjhiWX_normal.jpg"/>
    <s v="1603709587341074433"/>
    <s v="1603655143408693248"/>
    <s v="1595788273699299328"/>
    <s v="1603656961601699840"/>
    <s v=""/>
    <s v=""/>
    <s v="1603656961601699840"/>
    <s v="1556242640320233472"/>
    <m/>
    <m/>
    <m/>
    <m/>
    <m/>
    <m/>
    <m/>
    <m/>
    <m/>
    <m/>
    <m/>
    <m/>
    <m/>
    <m/>
    <n v="1"/>
    <s v="1"/>
    <s v="1"/>
  </r>
  <r>
    <s v="s_cintanirmala"/>
    <s v="boetix"/>
    <m/>
    <m/>
    <m/>
    <m/>
    <m/>
    <m/>
    <m/>
    <m/>
    <s v="No"/>
    <n v="202"/>
    <b v="1"/>
    <m/>
    <s v="MentionsInReplyTo"/>
    <x v="123"/>
    <s v="@Din44yu @SanusiUndins @ManiseWidiarti @ikotjo22 @namatanpaspasi @s3creth_m4nz @MichelAdam5l5 @KING_KONGRETURN @Belangtiga @SholihAly @TiadaYangLain2 @BOETIX Salam Nol Persen _x000a__x000a_#KPUBiangKerokKecurangan_x000a__x000a_#KPUBiangKerokKecurangan"/>
    <n v="0"/>
    <n v="1"/>
    <n v="1"/>
    <n v="0"/>
    <n v="24"/>
    <s v="kpubiangkerokkecurangan kpubiangkerokkecurangan"/>
    <m/>
    <m/>
    <s v="din44yu sanusiundins manisewidiarti ikotjo22 namatanpaspasi s3creth_m4nz micheladam5l5 king_kongreturn belangtiga sholihaly tiadayanglain2 boetix"/>
    <m/>
    <m/>
    <s v="Twitter for iPhone"/>
    <s v="in"/>
    <s v="https://twitter.com/s_cintanirmala/status/1625736222651088897"/>
    <d v="2023-02-15T05:58:14.000"/>
    <d v="2023-02-15T00:00:00.000"/>
    <s v="05:58:14"/>
    <m/>
    <m/>
    <m/>
    <m/>
    <m/>
    <m/>
    <m/>
    <m/>
    <m/>
    <m/>
    <m/>
    <m/>
    <m/>
    <s v="https://pbs.twimg.com/profile_images/1562936385258266625/MwfjhiWX_normal.jpg"/>
    <s v="1625736222651088897"/>
    <s v="1625718350222622720"/>
    <s v="1562088809579180037"/>
    <s v="1625720719840804866"/>
    <s v=""/>
    <s v=""/>
    <s v="1625720719840804866"/>
    <s v="1556242640320233472"/>
    <m/>
    <m/>
    <m/>
    <m/>
    <m/>
    <m/>
    <m/>
    <m/>
    <m/>
    <m/>
    <m/>
    <m/>
    <m/>
    <m/>
    <n v="1"/>
    <s v="1"/>
    <s v="1"/>
  </r>
  <r>
    <s v="manisewidiarti"/>
    <s v="democrazymedia"/>
    <m/>
    <m/>
    <m/>
    <m/>
    <m/>
    <m/>
    <m/>
    <m/>
    <s v="No"/>
    <n v="208"/>
    <b v="0"/>
    <m/>
    <s v="Quote"/>
    <x v="124"/>
    <s v="MUNDUR.! _x000a_HAPUS PT20℅/ BUBARKAN MK_x000a_SALAM NOL PERSEN_x000a_#JokowiMatikanDemokrasi _x000a_#JokowiMatikanDemokrasi"/>
    <n v="0"/>
    <n v="0"/>
    <n v="0"/>
    <n v="0"/>
    <m/>
    <s v="jokowimatikandemokrasi jokowimatikandemokrasi"/>
    <m/>
    <m/>
    <m/>
    <m/>
    <m/>
    <s v="Twitter for Android"/>
    <s v="in"/>
    <s v="https://twitter.com/manisewidiarti/status/1538870530392006656"/>
    <d v="2022-06-20T13:04:59.000"/>
    <d v="2022-06-20T00:00:00.000"/>
    <s v="13:04:59"/>
    <m/>
    <m/>
    <m/>
    <m/>
    <m/>
    <m/>
    <m/>
    <m/>
    <m/>
    <m/>
    <m/>
    <m/>
    <m/>
    <s v="https://pbs.twimg.com/profile_images/1566765240179499010/TFlWzTGL_normal.jpg"/>
    <s v="1538870530392006656"/>
    <s v="1538870530392006656"/>
    <m/>
    <s v=""/>
    <s v="1538860465417338881"/>
    <s v=""/>
    <s v="1538860465417338881"/>
    <s v="1221255113848700928"/>
    <m/>
    <m/>
    <m/>
    <m/>
    <m/>
    <n v="4"/>
    <n v="40"/>
    <n v="1"/>
    <n v="10"/>
    <n v="0"/>
    <n v="0"/>
    <n v="5"/>
    <n v="50"/>
    <n v="10"/>
    <n v="1"/>
    <s v="2"/>
    <s v="2"/>
  </r>
  <r>
    <s v="manisewidiarti"/>
    <s v="manisewidiarti"/>
    <m/>
    <m/>
    <m/>
    <m/>
    <m/>
    <m/>
    <m/>
    <m/>
    <s v="No"/>
    <n v="209"/>
    <b v="0"/>
    <m/>
    <s v="Tweet"/>
    <x v="125"/>
    <s v="Seliweran gambar capres-cawapres 2024!! _x000a_Padahal Negara banyak ketimpangan. Dari Utang negara, Ekonomi, Hukum, TKA CINA dll..... _x000a_#TolakRUU_KUHP _x000a_#TolakRUU_KUHP_x000a_Hapus PT20℅_x000a_SALAM NOL PERSEN"/>
    <n v="1"/>
    <n v="1"/>
    <n v="0"/>
    <n v="0"/>
    <m/>
    <s v="tolakruu_kuhp tolakruu_kuhp"/>
    <m/>
    <m/>
    <m/>
    <m/>
    <m/>
    <s v="Twitter for Android"/>
    <s v="in"/>
    <s v="https://twitter.com/manisewidiarti/status/1538762311732629504"/>
    <d v="2022-06-20T05:54:58.000"/>
    <d v="2022-06-20T00:00:00.000"/>
    <s v="05:54:58"/>
    <m/>
    <m/>
    <m/>
    <m/>
    <m/>
    <m/>
    <m/>
    <m/>
    <m/>
    <m/>
    <m/>
    <m/>
    <m/>
    <s v="https://pbs.twimg.com/profile_images/1566765240179499010/TFlWzTGL_normal.jpg"/>
    <s v="1538762311732629504"/>
    <s v="1538762311732629504"/>
    <m/>
    <s v=""/>
    <s v=""/>
    <s v=""/>
    <s v="1538762311732629504"/>
    <s v="1221255113848700928"/>
    <m/>
    <m/>
    <m/>
    <m/>
    <m/>
    <n v="4"/>
    <n v="16.666666666666668"/>
    <n v="1"/>
    <n v="4.166666666666667"/>
    <n v="0"/>
    <n v="0"/>
    <n v="19"/>
    <n v="79.16666666666667"/>
    <n v="24"/>
    <n v="1"/>
    <s v="2"/>
    <s v="2"/>
  </r>
  <r>
    <s v="odang4z"/>
    <s v="odang4z"/>
    <m/>
    <m/>
    <m/>
    <m/>
    <m/>
    <m/>
    <m/>
    <m/>
    <s v="No"/>
    <n v="212"/>
    <b v="0"/>
    <m/>
    <s v="Tweet"/>
    <x v="126"/>
    <s v="Salam nol persen.."/>
    <n v="0"/>
    <n v="0"/>
    <n v="0"/>
    <n v="0"/>
    <m/>
    <m/>
    <m/>
    <m/>
    <m/>
    <m/>
    <m/>
    <s v="Twitter for Android"/>
    <s v="in"/>
    <s v="https://twitter.com/odang4z/status/1476387785124712450"/>
    <d v="2021-12-30T03:00:52.000"/>
    <d v="2021-12-30T00:00:00.000"/>
    <s v="03:00:52"/>
    <m/>
    <m/>
    <m/>
    <m/>
    <m/>
    <m/>
    <m/>
    <m/>
    <m/>
    <m/>
    <m/>
    <m/>
    <m/>
    <s v="https://pbs.twimg.com/profile_images/1405213344793989126/Yu21MbZB_normal.jpg"/>
    <s v="1476387785124712450"/>
    <s v="1476387785124712450"/>
    <m/>
    <s v=""/>
    <s v=""/>
    <s v=""/>
    <s v="1476387785124712450"/>
    <n v="49373951"/>
    <m/>
    <m/>
    <m/>
    <m/>
    <m/>
    <n v="3"/>
    <n v="100"/>
    <n v="0"/>
    <n v="0"/>
    <n v="0"/>
    <n v="0"/>
    <n v="0"/>
    <n v="0"/>
    <n v="3"/>
    <n v="27"/>
    <s v="4"/>
    <s v="4"/>
  </r>
  <r>
    <s v="marieberubah"/>
    <s v="youtube"/>
    <m/>
    <m/>
    <m/>
    <m/>
    <m/>
    <m/>
    <m/>
    <m/>
    <s v="No"/>
    <n v="213"/>
    <b v="0"/>
    <m/>
    <s v="Mentions"/>
    <x v="127"/>
    <s v="LAGU SALAM NOL PERSEN  Lirik Refly Harun Penyanyi   OGI    https://t.co/pmJxIiobbN via @YouTube"/>
    <n v="0"/>
    <n v="0"/>
    <n v="0"/>
    <n v="0"/>
    <m/>
    <m/>
    <s v="https://youtu.be/PA1YYNZ3g70"/>
    <s v="youtu.be"/>
    <s v="youtube"/>
    <m/>
    <m/>
    <s v="Twitter Web App"/>
    <s v="in"/>
    <s v="https://twitter.com/marieberubah/status/1490644798889668615"/>
    <d v="2022-02-07T11:13:09.000"/>
    <d v="2022-02-07T00:00:00.000"/>
    <s v="11:13:09"/>
    <b v="0"/>
    <m/>
    <m/>
    <m/>
    <m/>
    <m/>
    <m/>
    <m/>
    <m/>
    <m/>
    <m/>
    <m/>
    <m/>
    <s v="https://pbs.twimg.com/profile_images/1692564893118164992/I-c6NE3F_normal.jpg"/>
    <s v="1490644798889668615"/>
    <s v="1490644798889668615"/>
    <m/>
    <s v=""/>
    <s v=""/>
    <s v=""/>
    <s v="1490644798889668615"/>
    <n v="620006235"/>
    <m/>
    <m/>
    <m/>
    <m/>
    <m/>
    <n v="3"/>
    <n v="27.272727272727273"/>
    <n v="0"/>
    <n v="0"/>
    <n v="0"/>
    <n v="0"/>
    <n v="8"/>
    <n v="72.72727272727273"/>
    <n v="11"/>
    <n v="1"/>
    <s v="29"/>
    <s v="29"/>
  </r>
  <r>
    <s v="rizalmedian"/>
    <s v="geloraco"/>
    <m/>
    <m/>
    <m/>
    <m/>
    <m/>
    <m/>
    <m/>
    <m/>
    <s v="No"/>
    <n v="214"/>
    <b v="1"/>
    <m/>
    <s v="Replies to"/>
    <x v="128"/>
    <s v="@geloraco Kekhawatiran itu wajar, karena memang ada indikasi, kedaulatan itu mesti ditangan rakyat, bukan ditangan Parlemen.. _x000a__x000a_#salamnolpersen"/>
    <n v="0"/>
    <n v="1"/>
    <n v="0"/>
    <n v="0"/>
    <m/>
    <s v="salamnolpersen"/>
    <m/>
    <m/>
    <s v="geloraco"/>
    <m/>
    <m/>
    <s v="Twitter for Android"/>
    <s v="in"/>
    <s v="https://twitter.com/rizalmedian/status/1571484280546807808"/>
    <d v="2022-09-18T13:00:23.000"/>
    <d v="2022-09-18T00:00:00.000"/>
    <s v="13:00:23"/>
    <m/>
    <m/>
    <m/>
    <m/>
    <m/>
    <m/>
    <m/>
    <m/>
    <m/>
    <m/>
    <m/>
    <m/>
    <m/>
    <s v="https://pbs.twimg.com/profile_images/1544080357473099777/d7EycaIp_normal.jpg"/>
    <s v="1571484280546807808"/>
    <s v="1571422480027488257"/>
    <s v="3319260420"/>
    <s v="1571422480027488257"/>
    <s v=""/>
    <s v=""/>
    <s v="1571422480027488257"/>
    <s v="1506352668947918850"/>
    <m/>
    <m/>
    <m/>
    <m/>
    <m/>
    <n v="2"/>
    <n v="11.764705882352942"/>
    <n v="0"/>
    <n v="0"/>
    <n v="0"/>
    <n v="0"/>
    <n v="15"/>
    <n v="88.23529411764706"/>
    <n v="17"/>
    <n v="1"/>
    <s v="5"/>
    <s v="5"/>
  </r>
  <r>
    <s v="awakblangdalam"/>
    <s v="lanyallaacademy"/>
    <m/>
    <m/>
    <m/>
    <m/>
    <m/>
    <m/>
    <m/>
    <m/>
    <s v="No"/>
    <n v="215"/>
    <b v="1"/>
    <m/>
    <s v="MentionsInReplyTo"/>
    <x v="129"/>
    <s v="@akunyangbaik @IndonesiaFaried @ontohbrontoh @LaNyallaAcademy PT Nol Persen itu awal start negara demokrasi..._x000a_#SalamNolPersen"/>
    <n v="3"/>
    <n v="5"/>
    <n v="1"/>
    <n v="0"/>
    <m/>
    <s v="salamnolpersen"/>
    <m/>
    <m/>
    <s v="indonesiafaried ontohbrontoh lanyallaacademy"/>
    <m/>
    <m/>
    <s v="Twitter for Android"/>
    <s v="in"/>
    <s v="https://twitter.com/awakblangdalam/status/1567544944809889793"/>
    <d v="2022-09-07T16:06:53.000"/>
    <d v="2022-09-07T00:00:00.000"/>
    <s v="16:06:53"/>
    <m/>
    <m/>
    <m/>
    <m/>
    <m/>
    <m/>
    <m/>
    <m/>
    <m/>
    <m/>
    <m/>
    <m/>
    <m/>
    <s v="https://pbs.twimg.com/profile_images/1529768170692628481/tLhXznq8_normal.jpg"/>
    <s v="1567544944809889793"/>
    <s v="1563841742473875456"/>
    <s v="886878090768424960"/>
    <s v="1567535661204516865"/>
    <s v=""/>
    <s v=""/>
    <s v="1567535661204516865"/>
    <s v="1529689188274122752"/>
    <m/>
    <m/>
    <m/>
    <m/>
    <m/>
    <m/>
    <m/>
    <m/>
    <m/>
    <m/>
    <m/>
    <m/>
    <m/>
    <m/>
    <n v="1"/>
    <s v="10"/>
    <s v="10"/>
  </r>
  <r>
    <s v="awakblangdalam"/>
    <s v="oposisicerdas"/>
    <m/>
    <m/>
    <m/>
    <m/>
    <m/>
    <m/>
    <m/>
    <m/>
    <s v="No"/>
    <n v="218"/>
    <b v="1"/>
    <m/>
    <s v="Quote"/>
    <x v="130"/>
    <s v="#SalamNolPersen 👌"/>
    <n v="0"/>
    <n v="0"/>
    <n v="0"/>
    <n v="0"/>
    <m/>
    <s v="salamnolpersen"/>
    <m/>
    <m/>
    <m/>
    <m/>
    <m/>
    <s v="Twitter for Android"/>
    <s v="qme"/>
    <s v="https://twitter.com/awakblangdalam/status/1579155925419425792"/>
    <d v="2022-10-09T17:04:46.000"/>
    <d v="2022-10-09T00:00:00.000"/>
    <s v="17:04:46"/>
    <m/>
    <m/>
    <m/>
    <m/>
    <m/>
    <m/>
    <m/>
    <m/>
    <m/>
    <m/>
    <m/>
    <m/>
    <m/>
    <s v="https://pbs.twimg.com/profile_images/1529768170692628481/tLhXznq8_normal.jpg"/>
    <s v="1579155925419425792"/>
    <s v="1579155925419425792"/>
    <m/>
    <s v=""/>
    <s v="1578922518089707520"/>
    <s v=""/>
    <s v="1578922518089707520"/>
    <s v="1529689188274122752"/>
    <m/>
    <m/>
    <m/>
    <m/>
    <m/>
    <n v="0"/>
    <n v="0"/>
    <n v="0"/>
    <n v="0"/>
    <n v="0"/>
    <n v="0"/>
    <n v="1"/>
    <n v="100"/>
    <n v="1"/>
    <n v="1"/>
    <s v="10"/>
    <s v="10"/>
  </r>
  <r>
    <s v="rakyatkecik"/>
    <s v="psi_id"/>
    <m/>
    <m/>
    <m/>
    <m/>
    <m/>
    <m/>
    <m/>
    <m/>
    <s v="No"/>
    <n v="219"/>
    <b v="0"/>
    <m/>
    <s v="MentionsInReplyTo"/>
    <x v="131"/>
    <s v="@mudjib_trisatya @psi_id Salam nol persen 🙂"/>
    <n v="0"/>
    <n v="0"/>
    <n v="0"/>
    <n v="0"/>
    <m/>
    <m/>
    <m/>
    <m/>
    <s v="mudjib_trisatya psi_id"/>
    <m/>
    <m/>
    <s v="Twitter for Android"/>
    <s v="in"/>
    <s v="https://twitter.com/rakyatkecik/status/1577967094263488512"/>
    <d v="2022-10-06T10:20:47.000"/>
    <d v="2022-10-06T00:00:00.000"/>
    <s v="10:20:47"/>
    <m/>
    <m/>
    <m/>
    <m/>
    <m/>
    <m/>
    <m/>
    <m/>
    <m/>
    <m/>
    <m/>
    <m/>
    <m/>
    <s v="https://pbs.twimg.com/profile_images/1715725600445603840/Asg-oRZQ_normal.jpg"/>
    <s v="1577967094263488512"/>
    <s v="1577955853558173696"/>
    <s v="86311492"/>
    <s v="1577955869748101120"/>
    <s v=""/>
    <s v=""/>
    <s v="1577955869748101120"/>
    <n v="64611930"/>
    <m/>
    <m/>
    <m/>
    <m/>
    <m/>
    <n v="3"/>
    <n v="60"/>
    <n v="0"/>
    <n v="0"/>
    <n v="0"/>
    <n v="0"/>
    <n v="2"/>
    <n v="40"/>
    <n v="5"/>
    <n v="1"/>
    <s v="28"/>
    <s v="28"/>
  </r>
  <r>
    <s v="terapungkembali"/>
    <s v="terapungkembali"/>
    <m/>
    <m/>
    <m/>
    <m/>
    <m/>
    <m/>
    <m/>
    <m/>
    <s v="No"/>
    <n v="220"/>
    <b v="1"/>
    <m/>
    <s v="Tweet"/>
    <x v="132"/>
    <s v="&quot;Saya terima nikah dan mas kawinnya threshold 20% dibayar tunai&quot;_x000a__x000a_Ada?_x000a_#SalamNolPersen"/>
    <n v="0"/>
    <n v="3"/>
    <n v="0"/>
    <n v="0"/>
    <m/>
    <s v="salamnolpersen"/>
    <m/>
    <m/>
    <m/>
    <m/>
    <m/>
    <s v="Twitter for Android"/>
    <s v="in"/>
    <s v="https://twitter.com/terapungkembali/status/1530009013605236736"/>
    <d v="2022-05-27T02:12:29.000"/>
    <d v="2022-05-27T00:00:00.000"/>
    <s v="02:12:29"/>
    <m/>
    <m/>
    <m/>
    <m/>
    <m/>
    <m/>
    <m/>
    <m/>
    <m/>
    <m/>
    <m/>
    <m/>
    <m/>
    <s v="https://pbs.twimg.com/profile_images/1727941910642454528/MClKHgLX_normal.jpg"/>
    <s v="1530009013605236736"/>
    <s v="1530009013605236736"/>
    <m/>
    <s v=""/>
    <s v=""/>
    <s v=""/>
    <s v="1530009013605236736"/>
    <s v="1156768706648666112"/>
    <m/>
    <m/>
    <m/>
    <m/>
    <m/>
    <n v="0"/>
    <n v="0"/>
    <n v="0"/>
    <n v="0"/>
    <n v="0"/>
    <n v="0"/>
    <n v="12"/>
    <n v="100"/>
    <n v="12"/>
    <n v="1"/>
    <s v="4"/>
    <s v="4"/>
  </r>
  <r>
    <s v="hermin165"/>
    <s v="reflyhz"/>
    <m/>
    <m/>
    <m/>
    <m/>
    <m/>
    <m/>
    <m/>
    <m/>
    <s v="No"/>
    <n v="221"/>
    <b v="0"/>
    <m/>
    <s v="Replies to"/>
    <x v="133"/>
    <s v="@ReflyHZ Aamiin Yaa Rabb _x000a_semoga PT NOL PERSEN segera berlabuh 🤲_x000a__x000a_#SALAMNOLPERSEN"/>
    <n v="0"/>
    <n v="0"/>
    <n v="0"/>
    <n v="0"/>
    <m/>
    <s v="salamnolpersen"/>
    <m/>
    <m/>
    <s v="reflyhz"/>
    <m/>
    <m/>
    <s v="Twitter for Android"/>
    <s v="in"/>
    <s v="https://twitter.com/hermin165/status/1481094794273525760"/>
    <d v="2022-01-12T02:44:51.000"/>
    <d v="2022-01-12T00:00:00.000"/>
    <s v="02:44:51"/>
    <m/>
    <m/>
    <m/>
    <m/>
    <m/>
    <m/>
    <m/>
    <m/>
    <m/>
    <m/>
    <m/>
    <m/>
    <m/>
    <s v="https://pbs.twimg.com/profile_images/1718130098682101760/x4AZLWQk_normal.jpg"/>
    <s v="1481094794273525760"/>
    <s v="1479042455064350721"/>
    <s v="185116088"/>
    <s v="1479042455064350721"/>
    <s v=""/>
    <s v=""/>
    <s v="1479042455064350721"/>
    <s v="1072735712527572992"/>
    <m/>
    <m/>
    <m/>
    <m/>
    <m/>
    <n v="3"/>
    <n v="27.272727272727273"/>
    <n v="0"/>
    <n v="0"/>
    <n v="0"/>
    <n v="0"/>
    <n v="8"/>
    <n v="72.72727272727273"/>
    <n v="11"/>
    <n v="1"/>
    <s v="9"/>
    <s v="9"/>
  </r>
  <r>
    <s v="sys_cak"/>
    <s v="sys_cak"/>
    <m/>
    <m/>
    <m/>
    <m/>
    <m/>
    <m/>
    <m/>
    <m/>
    <s v="No"/>
    <n v="222"/>
    <b v="1"/>
    <m/>
    <s v="Tweet"/>
    <x v="134"/>
    <s v="Ayo Jawab dengan Jujur, Sudah Adilkah Pemimpin Negara Saat ini?_x000a_#hapuspt20persen _x000a_#hapuspt20persen _x000a_#SalamNolPersen https://t.co/WMDnzAnBbz"/>
    <n v="0"/>
    <n v="2"/>
    <n v="0"/>
    <n v="0"/>
    <m/>
    <s v="hapuspt20persen hapuspt20persen salamnolpersen"/>
    <m/>
    <m/>
    <m/>
    <s v="https://t.co/WMDnzAnBbz https://pbs.twimg.com/media/FHR90l_UYAAak-a.jpg"/>
    <s v="photo"/>
    <s v="Twitter for Android"/>
    <s v="in"/>
    <s v="https://twitter.com/sys_cak/status/1473941328085934080"/>
    <d v="2021-12-23T08:59:31.000"/>
    <d v="2021-12-23T00:00:00.000"/>
    <s v="08:59:31"/>
    <b v="0"/>
    <m/>
    <m/>
    <m/>
    <m/>
    <m/>
    <m/>
    <m/>
    <s v="3_1473941320561352704"/>
    <m/>
    <m/>
    <m/>
    <m/>
    <s v="https://pbs.twimg.com/media/FHR90l_UYAAak-a.jpg"/>
    <s v="1473941328085934080"/>
    <s v="1473941328085934080"/>
    <m/>
    <s v=""/>
    <s v=""/>
    <s v=""/>
    <s v="1473941328085934080"/>
    <s v="1340279925513670658"/>
    <m/>
    <m/>
    <m/>
    <m/>
    <m/>
    <n v="1"/>
    <n v="7.6923076923076925"/>
    <n v="0"/>
    <n v="0"/>
    <n v="0"/>
    <n v="0"/>
    <n v="12"/>
    <n v="92.3076923076923"/>
    <n v="13"/>
    <n v="1"/>
    <s v="4"/>
    <s v="4"/>
  </r>
  <r>
    <s v="livia_elly"/>
    <s v="livia_elly"/>
    <m/>
    <m/>
    <m/>
    <m/>
    <m/>
    <m/>
    <m/>
    <m/>
    <s v="No"/>
    <n v="223"/>
    <b v="0"/>
    <m/>
    <s v="Tweet"/>
    <x v="135"/>
    <s v="Salam nol persen _x000a_#SALAMNOLPERSEN https://t.co/ZfBS4ALHyY"/>
    <n v="0"/>
    <n v="1"/>
    <n v="0"/>
    <n v="0"/>
    <m/>
    <s v="salamnolpersen"/>
    <m/>
    <m/>
    <m/>
    <s v="https://t.co/ZfBS4ALHyY https://pbs.twimg.com/ext_tw_video_thumb/1481802070365999105/pu/img/PhJQoDB0XdrjGeF7.jpg"/>
    <s v="video"/>
    <s v="Twitter for Android"/>
    <s v="in"/>
    <s v="https://twitter.com/livia_elly/status/1481802736819929091"/>
    <d v="2022-01-14T01:37:57.000"/>
    <d v="2022-01-14T00:00:00.000"/>
    <s v="01:37:57"/>
    <b v="0"/>
    <m/>
    <m/>
    <m/>
    <m/>
    <m/>
    <m/>
    <m/>
    <s v="7_1481802070365999105"/>
    <n v="139978"/>
    <m/>
    <m/>
    <m/>
    <s v="https://pbs.twimg.com/ext_tw_video_thumb/1481802070365999105/pu/img/PhJQoDB0XdrjGeF7.jpg"/>
    <s v="1481802736819929091"/>
    <s v="1481802736819929091"/>
    <m/>
    <s v=""/>
    <s v=""/>
    <s v=""/>
    <s v="1481802736819929091"/>
    <s v="961792402057932801"/>
    <m/>
    <m/>
    <m/>
    <m/>
    <m/>
    <n v="3"/>
    <n v="75"/>
    <n v="0"/>
    <n v="0"/>
    <n v="0"/>
    <n v="0"/>
    <n v="1"/>
    <n v="25"/>
    <n v="4"/>
    <n v="1"/>
    <s v="4"/>
    <s v="4"/>
  </r>
  <r>
    <s v="heindrahayyun1"/>
    <s v="reflyhz"/>
    <m/>
    <m/>
    <m/>
    <m/>
    <m/>
    <m/>
    <m/>
    <m/>
    <s v="No"/>
    <n v="224"/>
    <b v="1"/>
    <m/>
    <s v="Replies to"/>
    <x v="136"/>
    <s v="@ReflyHZ #SALAMNOLPERSEN_x000a_#SALAMNOLPERSEN"/>
    <n v="0"/>
    <n v="0"/>
    <n v="0"/>
    <n v="0"/>
    <m/>
    <s v="salamnolpersen salamnolpersen"/>
    <m/>
    <m/>
    <s v="reflyhz"/>
    <m/>
    <m/>
    <s v="Twitter for Android"/>
    <s v="qme"/>
    <s v="https://twitter.com/heindrahayyun1/status/1481551323418214403"/>
    <d v="2022-01-13T08:58:56.000"/>
    <d v="2022-01-13T00:00:00.000"/>
    <s v="08:58:56"/>
    <m/>
    <m/>
    <m/>
    <m/>
    <m/>
    <m/>
    <m/>
    <m/>
    <m/>
    <m/>
    <m/>
    <m/>
    <m/>
    <s v="https://pbs.twimg.com/profile_images/1536574414384312322/CnguST2y_normal.jpg"/>
    <s v="1481551323418214403"/>
    <s v="1479042455064350721"/>
    <s v="185116088"/>
    <s v="1479042455064350721"/>
    <s v=""/>
    <s v=""/>
    <s v="1479042455064350721"/>
    <s v="1358053455621812224"/>
    <m/>
    <m/>
    <m/>
    <m/>
    <m/>
    <n v="0"/>
    <n v="0"/>
    <n v="0"/>
    <n v="0"/>
    <n v="0"/>
    <n v="0"/>
    <n v="3"/>
    <n v="100"/>
    <n v="3"/>
    <n v="1"/>
    <s v="9"/>
    <s v="9"/>
  </r>
  <r>
    <s v="mr_arogan_"/>
    <s v="fahiraidris"/>
    <m/>
    <m/>
    <m/>
    <m/>
    <m/>
    <m/>
    <m/>
    <m/>
    <s v="No"/>
    <n v="225"/>
    <b v="0"/>
    <m/>
    <s v="Replies to"/>
    <x v="137"/>
    <s v="@fahiraidris Bissmillah Uni_x000a_Kami mendukung perjuangan Uni dan kawan2 senator beserta tim pengacara dlm upaya uji materil di MK_x000a_Teriring doa semoga Allah meridhoi perjuangan kita semua_x000a_Aamiin 🤲_x000a__x000a_#SalamNolPersen"/>
    <n v="0"/>
    <n v="2"/>
    <n v="0"/>
    <n v="0"/>
    <m/>
    <s v="salamnolpersen"/>
    <m/>
    <m/>
    <s v="fahiraidris"/>
    <m/>
    <m/>
    <s v="Twitter for Android"/>
    <s v="in"/>
    <s v="https://twitter.com/mr_arogan_/status/1480878694906281987"/>
    <d v="2022-01-11T12:26:08.000"/>
    <d v="2022-01-11T00:00:00.000"/>
    <s v="12:26:08"/>
    <m/>
    <m/>
    <m/>
    <m/>
    <m/>
    <m/>
    <m/>
    <m/>
    <m/>
    <m/>
    <m/>
    <m/>
    <m/>
    <s v="https://pbs.twimg.com/profile_images/1721856157793546240/V5-hrh7i_normal.jpg"/>
    <s v="1480878694906281987"/>
    <s v="1480743882191036417"/>
    <s v="68304724"/>
    <s v="1480743882191036417"/>
    <s v=""/>
    <s v=""/>
    <s v="1480743882191036417"/>
    <s v="1220001613361770497"/>
    <m/>
    <m/>
    <m/>
    <m/>
    <m/>
    <n v="5"/>
    <n v="17.24137931034483"/>
    <n v="0"/>
    <n v="0"/>
    <n v="0"/>
    <n v="0"/>
    <n v="24"/>
    <n v="82.75862068965517"/>
    <n v="29"/>
    <n v="1"/>
    <s v="5"/>
    <s v="5"/>
  </r>
  <r>
    <s v="masyarakat2021"/>
    <s v="ramlirizal"/>
    <m/>
    <m/>
    <m/>
    <m/>
    <m/>
    <m/>
    <m/>
    <m/>
    <s v="No"/>
    <n v="226"/>
    <b v="0"/>
    <m/>
    <s v="Quote"/>
    <x v="138"/>
    <s v="Salam nol persen..."/>
    <n v="0"/>
    <n v="1"/>
    <n v="0"/>
    <n v="0"/>
    <n v="26"/>
    <m/>
    <m/>
    <m/>
    <m/>
    <m/>
    <m/>
    <s v="Twitter for Android"/>
    <s v="in"/>
    <s v="https://twitter.com/masyarakat2021/status/1634109971133792256"/>
    <d v="2023-03-10T08:32:32.000"/>
    <d v="2023-03-10T00:00:00.000"/>
    <s v="08:32:32"/>
    <m/>
    <m/>
    <m/>
    <m/>
    <m/>
    <m/>
    <m/>
    <m/>
    <m/>
    <m/>
    <m/>
    <m/>
    <m/>
    <s v="https://pbs.twimg.com/profile_images/1344974135525478400/AAKdYcGp_normal.jpg"/>
    <s v="1634109971133792256"/>
    <s v="1634109971133792256"/>
    <m/>
    <s v=""/>
    <s v="1634104453325549568"/>
    <s v=""/>
    <s v="1634104453325549568"/>
    <s v="1344904391367643136"/>
    <m/>
    <m/>
    <m/>
    <m/>
    <m/>
    <n v="3"/>
    <n v="100"/>
    <n v="0"/>
    <n v="0"/>
    <n v="0"/>
    <n v="0"/>
    <n v="0"/>
    <n v="0"/>
    <n v="3"/>
    <n v="1"/>
    <s v="6"/>
    <s v="6"/>
  </r>
  <r>
    <s v="mdariusdah"/>
    <s v="reflyhz"/>
    <m/>
    <m/>
    <m/>
    <m/>
    <m/>
    <m/>
    <m/>
    <m/>
    <s v="No"/>
    <n v="227"/>
    <b v="1"/>
    <m/>
    <s v="Replies to"/>
    <x v="139"/>
    <s v="@ReflyHZ #SALAMNOLPERSEN juga Pak RH_x000a__x000a_✌✌✌"/>
    <n v="0"/>
    <n v="1"/>
    <n v="0"/>
    <n v="0"/>
    <m/>
    <s v="salamnolpersen"/>
    <m/>
    <m/>
    <s v="reflyhz"/>
    <m/>
    <m/>
    <s v="Twitter for Android"/>
    <s v="in"/>
    <s v="https://twitter.com/mdariusdah/status/1481089622889611264"/>
    <d v="2022-01-12T02:24:18.000"/>
    <d v="2022-01-12T00:00:00.000"/>
    <s v="02:24:18"/>
    <m/>
    <m/>
    <m/>
    <m/>
    <m/>
    <m/>
    <m/>
    <m/>
    <m/>
    <m/>
    <m/>
    <m/>
    <m/>
    <s v="https://pbs.twimg.com/profile_images/1541233536983638016/LYPDbJJW_normal.jpg"/>
    <s v="1481089622889611264"/>
    <s v="1479042455064350721"/>
    <s v="185116088"/>
    <s v="1479042455064350721"/>
    <s v=""/>
    <s v=""/>
    <s v="1479042455064350721"/>
    <s v="849187851065479168"/>
    <m/>
    <m/>
    <m/>
    <m/>
    <m/>
    <n v="0"/>
    <n v="0"/>
    <n v="0"/>
    <n v="0"/>
    <n v="0"/>
    <n v="0"/>
    <n v="5"/>
    <n v="100"/>
    <n v="5"/>
    <n v="1"/>
    <s v="9"/>
    <s v="9"/>
  </r>
  <r>
    <s v="news_jubi"/>
    <s v="news_jubi"/>
    <m/>
    <m/>
    <m/>
    <m/>
    <m/>
    <m/>
    <m/>
    <m/>
    <s v="No"/>
    <n v="228"/>
    <b v="1"/>
    <m/>
    <s v="Tweet"/>
    <x v="140"/>
    <s v="Berita Papua // Aksi mahasiswa tolak KTT G20 : Ini nama korban pemukulan dan penangkapan polisi https://t.co/kajnHV08JZ https://t.co/32R6rI6CwA"/>
    <n v="6"/>
    <n v="34"/>
    <n v="3"/>
    <n v="2"/>
    <m/>
    <m/>
    <s v="http://dlvr.it/ScsHSc"/>
    <s v="dlvr.it"/>
    <m/>
    <s v="https://t.co/32R6rI6CwA https://pbs.twimg.com/media/FhrmUkaaUAAbsi8.jpg"/>
    <s v="photo"/>
    <s v="dlvr.it"/>
    <s v="in"/>
    <s v="https://twitter.com/news_jubi/status/1592838663347769344"/>
    <d v="2022-11-16T11:15:05.000"/>
    <d v="2022-11-16T00:00:00.000"/>
    <s v="11:15:05"/>
    <b v="0"/>
    <m/>
    <m/>
    <m/>
    <m/>
    <m/>
    <m/>
    <m/>
    <s v="3_1592838659275116544"/>
    <m/>
    <m/>
    <m/>
    <m/>
    <s v="https://pbs.twimg.com/media/FhrmUkaaUAAbsi8.jpg"/>
    <s v="1592838663347769344"/>
    <s v="1592838663347769344"/>
    <m/>
    <s v=""/>
    <s v=""/>
    <s v=""/>
    <s v="1592838663347769344"/>
    <n v="1023114824"/>
    <m/>
    <m/>
    <m/>
    <m/>
    <m/>
    <n v="0"/>
    <n v="0"/>
    <n v="0"/>
    <n v="0"/>
    <n v="0"/>
    <n v="0"/>
    <n v="14"/>
    <n v="100"/>
    <n v="14"/>
    <n v="1"/>
    <s v="27"/>
    <s v="27"/>
  </r>
  <r>
    <s v="rudyhar51284265"/>
    <s v="news_jubi"/>
    <m/>
    <m/>
    <m/>
    <m/>
    <m/>
    <m/>
    <m/>
    <m/>
    <s v="No"/>
    <n v="229"/>
    <b v="0"/>
    <m/>
    <s v="Quote"/>
    <x v="141"/>
    <s v="Assalamualaikum salam 🙏.. maksud dan tujuannya mahasiswa ini politik yg nol persen..bro ane jelasin ya.. janganlah engkau rusak mukamu sendiri engkau diciptakan sempurna..jikalau masih berfikir 2 langkah belajarlah yg jujur dan adil yg sukses akan tujuannya.. waalaikumunsallam"/>
    <n v="0"/>
    <n v="0"/>
    <n v="0"/>
    <n v="0"/>
    <m/>
    <m/>
    <m/>
    <m/>
    <m/>
    <m/>
    <m/>
    <s v="Twitter for Android"/>
    <s v="in"/>
    <s v="https://twitter.com/rudyhar51284265/status/1592914689058799616"/>
    <d v="2022-11-16T16:17:11.000"/>
    <d v="2022-11-16T00:00:00.000"/>
    <s v="16:17:11"/>
    <m/>
    <m/>
    <m/>
    <m/>
    <m/>
    <m/>
    <m/>
    <m/>
    <m/>
    <m/>
    <m/>
    <m/>
    <m/>
    <s v="https://pbs.twimg.com/profile_images/1569689395531481089/461iSbn1_normal.jpg"/>
    <s v="1592914689058799616"/>
    <s v="1592914689058799616"/>
    <m/>
    <s v=""/>
    <s v="1592838663347769344"/>
    <s v=""/>
    <s v="1592838663347769344"/>
    <s v="1268568931414900736"/>
    <m/>
    <m/>
    <m/>
    <m/>
    <m/>
    <n v="7"/>
    <n v="18.42105263157895"/>
    <n v="0"/>
    <n v="0"/>
    <n v="0"/>
    <n v="0"/>
    <n v="31"/>
    <n v="81.57894736842105"/>
    <n v="38"/>
    <n v="1"/>
    <s v="27"/>
    <s v="27"/>
  </r>
  <r>
    <s v="yparkjihoon"/>
    <s v="convomf"/>
    <m/>
    <m/>
    <m/>
    <m/>
    <m/>
    <m/>
    <m/>
    <m/>
    <s v="No"/>
    <n v="230"/>
    <b v="0"/>
    <m/>
    <s v="Replies to"/>
    <x v="142"/>
    <s v="@convomf nonton yt salam nol persen"/>
    <n v="0"/>
    <n v="0"/>
    <n v="0"/>
    <n v="0"/>
    <m/>
    <m/>
    <m/>
    <m/>
    <s v="convomf"/>
    <m/>
    <m/>
    <s v="Twitter for Android"/>
    <s v="tl"/>
    <s v="https://twitter.com/yparkjihoon/status/1477300579139395584"/>
    <d v="2022-01-01T15:27:59.000"/>
    <d v="2022-01-01T00:00:00.000"/>
    <s v="15:27:59"/>
    <m/>
    <m/>
    <m/>
    <m/>
    <m/>
    <m/>
    <m/>
    <m/>
    <m/>
    <m/>
    <m/>
    <m/>
    <m/>
    <s v="https://pbs.twimg.com/profile_images/1542792321523015680/WzFNeRy2_normal.jpg"/>
    <s v="1477300579139395584"/>
    <s v="1477285993615032320"/>
    <s v="1314975287294083073"/>
    <s v="1477285993615032320"/>
    <s v=""/>
    <s v=""/>
    <s v="1477285993615032320"/>
    <s v="1249192745844891649"/>
    <m/>
    <m/>
    <m/>
    <m/>
    <m/>
    <n v="3"/>
    <n v="50"/>
    <n v="0"/>
    <n v="0"/>
    <n v="0"/>
    <n v="0"/>
    <n v="3"/>
    <n v="50"/>
    <n v="6"/>
    <n v="1"/>
    <s v="26"/>
    <s v="26"/>
  </r>
  <r>
    <s v="rahmaniarbaftim"/>
    <s v="taharudddin"/>
    <m/>
    <m/>
    <m/>
    <m/>
    <m/>
    <m/>
    <m/>
    <m/>
    <s v="No"/>
    <n v="231"/>
    <b v="1"/>
    <m/>
    <s v="Replies to"/>
    <x v="143"/>
    <s v="@taharudddin Aku suka nih klo makin byk bacapres. Yg lbh penting lagi hilangkan PT 20% menjadi 0%, _x000a_Pasti makin hidup pesta demokrasi. _x000a__x000a_#SalamNolPersen  ✊️👍"/>
    <n v="0"/>
    <n v="1"/>
    <n v="1"/>
    <n v="0"/>
    <n v="16"/>
    <s v="salamnolpersen"/>
    <m/>
    <m/>
    <s v="taharudddin"/>
    <m/>
    <m/>
    <s v="Twitter for Android"/>
    <s v="in"/>
    <s v="https://twitter.com/rahmaniarbaftim/status/1667671195565838338"/>
    <d v="2023-06-10T23:12:51.000"/>
    <d v="2023-06-10T00:00:00.000"/>
    <s v="23:12:51"/>
    <m/>
    <m/>
    <m/>
    <m/>
    <m/>
    <m/>
    <m/>
    <m/>
    <m/>
    <m/>
    <m/>
    <m/>
    <m/>
    <s v="https://pbs.twimg.com/profile_images/1718760004688416768/hT2eS6-3_normal.jpg"/>
    <s v="1667671195565838338"/>
    <s v="1667669385237118977"/>
    <s v="1369533748417495049"/>
    <s v="1667669385237118977"/>
    <s v=""/>
    <s v=""/>
    <s v="1667669385237118977"/>
    <n v="852327811"/>
    <m/>
    <m/>
    <m/>
    <m/>
    <m/>
    <n v="1"/>
    <n v="4.3478260869565215"/>
    <n v="0"/>
    <n v="0"/>
    <n v="0"/>
    <n v="0"/>
    <n v="22"/>
    <n v="95.65217391304348"/>
    <n v="23"/>
    <n v="1"/>
    <s v="25"/>
    <s v="25"/>
  </r>
  <r>
    <s v="rizki_reza24"/>
    <s v="fahiraidris"/>
    <m/>
    <m/>
    <m/>
    <m/>
    <m/>
    <m/>
    <m/>
    <m/>
    <s v="No"/>
    <n v="232"/>
    <b v="0"/>
    <m/>
    <s v="Replies to"/>
    <x v="144"/>
    <s v="@fahiraidris Mantap._x000a__x000a_Semangat uni_x000a_Salam nol persen"/>
    <n v="0"/>
    <n v="0"/>
    <n v="0"/>
    <n v="0"/>
    <m/>
    <m/>
    <m/>
    <m/>
    <s v="fahiraidris"/>
    <m/>
    <m/>
    <s v="Twitter for Android"/>
    <s v="in"/>
    <s v="https://twitter.com/rizki_reza24/status/1480751791423700993"/>
    <d v="2022-01-11T04:01:52.000"/>
    <d v="2022-01-11T00:00:00.000"/>
    <s v="04:01:52"/>
    <m/>
    <m/>
    <m/>
    <m/>
    <m/>
    <m/>
    <m/>
    <m/>
    <m/>
    <m/>
    <m/>
    <m/>
    <m/>
    <s v="https://pbs.twimg.com/profile_images/1513181257966157824/sJfpKpZY_normal.jpg"/>
    <s v="1480751791423700993"/>
    <s v="1480743882191036417"/>
    <s v="68304724"/>
    <s v="1480743882191036417"/>
    <s v=""/>
    <s v=""/>
    <s v="1480743882191036417"/>
    <s v="1071219362768416768"/>
    <m/>
    <m/>
    <m/>
    <m/>
    <m/>
    <n v="5"/>
    <n v="71.42857142857143"/>
    <n v="0"/>
    <n v="0"/>
    <n v="0"/>
    <n v="0"/>
    <n v="2"/>
    <n v="28.571428571428573"/>
    <n v="7"/>
    <n v="1"/>
    <s v="5"/>
    <s v="5"/>
  </r>
  <r>
    <s v="imronbiz"/>
    <s v="imronbiz"/>
    <m/>
    <m/>
    <m/>
    <m/>
    <m/>
    <m/>
    <m/>
    <m/>
    <s v="No"/>
    <n v="233"/>
    <b v="1"/>
    <m/>
    <s v="Tweet"/>
    <x v="145"/>
    <s v="#SalamNolPersen_x000a__x000a_Intelektual 100%_x000a_Elektabilitas 0%_x000a__x000a_PT 0% menjamin Pemimpin yg tak tersandera Oligarki Pengusaha !!"/>
    <n v="0"/>
    <n v="0"/>
    <n v="0"/>
    <n v="0"/>
    <m/>
    <s v="salamnolpersen"/>
    <m/>
    <m/>
    <m/>
    <m/>
    <m/>
    <s v="Twitter for iPhone"/>
    <s v="in"/>
    <s v="https://twitter.com/imronbiz/status/1471692585999626243"/>
    <d v="2021-12-17T04:03:49.000"/>
    <d v="2021-12-17T00:00:00.000"/>
    <s v="04:03:49"/>
    <m/>
    <s v="106,974561,-6,301652 _x000a_106,974561,-6,20717 _x000a_107,048951,-6,20717 _x000a_107,048951,-6,301652 _x000a_106,974561,-6,301652"/>
    <s v="Indonesia"/>
    <s v="ID"/>
    <s v="Bekasi Timur, Indonesia"/>
    <s v="1a29683becc7959b"/>
    <s v="Bekasi Timur"/>
    <s v="city"/>
    <m/>
    <m/>
    <m/>
    <m/>
    <m/>
    <s v="https://pbs.twimg.com/profile_images/1486594995146477568/gI2fZPj7_normal.jpg"/>
    <s v="1471692585999626243"/>
    <s v="1471692585999626243"/>
    <m/>
    <s v=""/>
    <s v=""/>
    <s v=""/>
    <s v="1471692585999626243"/>
    <n v="14951080"/>
    <m/>
    <m/>
    <m/>
    <m/>
    <m/>
    <n v="1"/>
    <n v="7.142857142857143"/>
    <n v="1"/>
    <n v="7.142857142857143"/>
    <n v="0"/>
    <n v="0"/>
    <n v="12"/>
    <n v="85.71428571428571"/>
    <n v="14"/>
    <n v="1"/>
    <s v="4"/>
    <s v="4"/>
  </r>
  <r>
    <s v="anjariuss"/>
    <s v="abu_waras"/>
    <m/>
    <m/>
    <m/>
    <m/>
    <m/>
    <m/>
    <m/>
    <m/>
    <s v="No"/>
    <n v="234"/>
    <b v="0"/>
    <m/>
    <s v="Replies to"/>
    <x v="146"/>
    <s v="@abu_waras Ingat ya , pergeralan event Formula E itu gak ada di agenda janji politik Anies B _x000a__x000a_Janji kampanye Anies B_x000a_- OK OC ❌_x000a_- DP NOL PERSEN ❌_x000a_- NORMALISASI ❌_x000a_- DLL ❌_x000a__x000a_Salam Waras untuk lambe yg tidak waras"/>
    <n v="0"/>
    <n v="0"/>
    <n v="0"/>
    <n v="0"/>
    <m/>
    <m/>
    <m/>
    <m/>
    <s v="abu_waras"/>
    <m/>
    <m/>
    <s v="Twitter Web App"/>
    <s v="in"/>
    <s v="https://twitter.com/anjariuss/status/1533398940233523200"/>
    <d v="2022-06-05T10:42:51.000"/>
    <d v="2022-06-05T00:00:00.000"/>
    <s v="10:42:51"/>
    <m/>
    <m/>
    <m/>
    <m/>
    <m/>
    <m/>
    <m/>
    <m/>
    <m/>
    <m/>
    <m/>
    <m/>
    <m/>
    <s v="https://pbs.twimg.com/profile_images/1575753227819454464/R35AW501_normal.jpg"/>
    <s v="1533398940233523200"/>
    <s v="1533110562024226816"/>
    <s v="2905814730"/>
    <s v="1533110562024226816"/>
    <s v=""/>
    <s v=""/>
    <s v="1533110562024226816"/>
    <s v="1084793854073532416"/>
    <m/>
    <m/>
    <m/>
    <m/>
    <m/>
    <n v="8"/>
    <n v="23.529411764705884"/>
    <n v="0"/>
    <n v="0"/>
    <n v="0"/>
    <n v="0"/>
    <n v="26"/>
    <n v="76.47058823529412"/>
    <n v="34"/>
    <n v="1"/>
    <s v="24"/>
    <s v="24"/>
  </r>
  <r>
    <s v="ramlirizal"/>
    <s v="ramlirizal"/>
    <m/>
    <m/>
    <m/>
    <m/>
    <m/>
    <m/>
    <m/>
    <m/>
    <s v="No"/>
    <n v="235"/>
    <b v="0"/>
    <m/>
    <s v="Tweet"/>
    <x v="147"/>
    <s v="Ketua KPK benar sekali 👍👍 Akibat ambang batas, sewa partai: 30-60 M untuk Bupati, 100-300 utk Gubernur, &amp;gt; 1 T utk capress. Nol-kan !_x000a__x000a_Alasan Firli Agar Threshold (ambang batas) 0 Persen: Banyak Kepala Daerah Keluhkan Biaya Politik dan Akhirnya Korupsi._x000a_https://t.co/QtzMz90Yg9"/>
    <n v="589"/>
    <n v="2090"/>
    <n v="134"/>
    <n v="44"/>
    <m/>
    <m/>
    <s v="https://politik.rmol.id/read/2021/12/12/515055/alasan-firli-agar-preshold-0-persen-banyak-kepala-daerah-keluhkan-biaya-politik-dan-akhirnya-korupsi"/>
    <s v="rmol.id"/>
    <m/>
    <m/>
    <m/>
    <s v="Twitter for iPhone"/>
    <s v="in"/>
    <s v="https://twitter.com/ramlirizal/status/1470031926467592195"/>
    <d v="2021-12-12T14:04:57.000"/>
    <d v="2021-12-12T00:00:00.000"/>
    <s v="14:04:57"/>
    <b v="0"/>
    <m/>
    <m/>
    <m/>
    <m/>
    <m/>
    <m/>
    <m/>
    <m/>
    <m/>
    <m/>
    <m/>
    <m/>
    <s v="https://pbs.twimg.com/profile_images/566077214081290240/NQje2pzu_normal.jpeg"/>
    <s v="1470031926467592195"/>
    <s v="1470031926467592195"/>
    <m/>
    <s v=""/>
    <s v=""/>
    <s v=""/>
    <s v="1470031926467592195"/>
    <n v="452992293"/>
    <m/>
    <m/>
    <m/>
    <m/>
    <m/>
    <n v="2"/>
    <n v="4.761904761904762"/>
    <n v="0"/>
    <n v="0"/>
    <n v="0"/>
    <n v="0"/>
    <n v="40"/>
    <n v="95.23809523809524"/>
    <n v="42"/>
    <n v="8"/>
    <s v="6"/>
    <s v="6"/>
  </r>
  <r>
    <s v="imamsunartoarif"/>
    <s v="ramlirizal"/>
    <m/>
    <m/>
    <m/>
    <m/>
    <m/>
    <m/>
    <m/>
    <m/>
    <s v="No"/>
    <n v="236"/>
    <b v="0"/>
    <m/>
    <s v="Quote"/>
    <x v="148"/>
    <s v="Ini baru aktivis 98 garis lurus yg punya nyali. Ayo rapatkan barisan...!! Dukung gelombang menggugat anti KKN sebagaimana yg diamanatkan TAP MPR No. XI/MPR/1998 tentang Penyelenggaraan Negara yang Bersih dan Bebas dari KKN. _x000a__x000a_#salamnolpersen_x000a_#bubarkanfraksi"/>
    <n v="4"/>
    <n v="5"/>
    <n v="0"/>
    <n v="0"/>
    <m/>
    <s v="salamnolpersen bubarkanfraksi"/>
    <m/>
    <m/>
    <m/>
    <m/>
    <m/>
    <s v="Twitter for Android"/>
    <s v="in"/>
    <s v="https://twitter.com/imamsunartoarif/status/1481766019639443459"/>
    <d v="2022-01-13T23:12:03.000"/>
    <d v="2022-01-13T00:00:00.000"/>
    <s v="23:12:03"/>
    <m/>
    <m/>
    <m/>
    <m/>
    <m/>
    <m/>
    <m/>
    <m/>
    <m/>
    <m/>
    <m/>
    <m/>
    <m/>
    <s v="https://pbs.twimg.com/profile_images/949285402552102912/vXU1ljdl_normal.jpg"/>
    <s v="1481766019639443459"/>
    <s v="1481766019639443459"/>
    <m/>
    <s v=""/>
    <s v="1481521814820253698"/>
    <s v=""/>
    <s v="1481521814820253698"/>
    <n v="221229468"/>
    <m/>
    <m/>
    <m/>
    <m/>
    <m/>
    <n v="2"/>
    <n v="5.405405405405405"/>
    <n v="2"/>
    <n v="5.405405405405405"/>
    <n v="0"/>
    <n v="0"/>
    <n v="32"/>
    <n v="86.48648648648648"/>
    <n v="37"/>
    <n v="1"/>
    <s v="6"/>
    <s v="6"/>
  </r>
  <r>
    <s v="kretek_mantab"/>
    <s v="krmtroysuryo2"/>
    <m/>
    <m/>
    <m/>
    <m/>
    <m/>
    <m/>
    <m/>
    <m/>
    <s v="No"/>
    <n v="237"/>
    <b v="0"/>
    <m/>
    <s v="Quote"/>
    <x v="149"/>
    <s v="Menarik nih imun biar cpt end game sblm 2024. salam NOL persen!"/>
    <n v="0"/>
    <n v="1"/>
    <n v="0"/>
    <n v="0"/>
    <m/>
    <m/>
    <m/>
    <m/>
    <m/>
    <m/>
    <m/>
    <s v="Twitter for Android"/>
    <s v="in"/>
    <s v="https://twitter.com/kretek_mantab/status/1496550473213841411"/>
    <d v="2022-02-23T18:20:12.000"/>
    <d v="2022-02-23T00:00:00.000"/>
    <s v="18:20:12"/>
    <m/>
    <m/>
    <m/>
    <m/>
    <m/>
    <m/>
    <m/>
    <m/>
    <m/>
    <m/>
    <m/>
    <m/>
    <m/>
    <s v="https://pbs.twimg.com/profile_images/1490362913705508865/eQDvT3lo_normal.jpg"/>
    <s v="1496550473213841411"/>
    <s v="1496550473213841411"/>
    <m/>
    <s v=""/>
    <s v="1496508851952451586"/>
    <s v=""/>
    <s v="1496508851952451586"/>
    <s v="1134174447273881600"/>
    <m/>
    <m/>
    <m/>
    <m/>
    <m/>
    <n v="3"/>
    <n v="25"/>
    <n v="1"/>
    <n v="8.333333333333334"/>
    <n v="0"/>
    <n v="0"/>
    <n v="8"/>
    <n v="66.66666666666667"/>
    <n v="12"/>
    <n v="1"/>
    <s v="23"/>
    <s v="23"/>
  </r>
  <r>
    <s v="oposisicerdas"/>
    <s v="oposisicerdas"/>
    <m/>
    <m/>
    <m/>
    <m/>
    <m/>
    <m/>
    <m/>
    <m/>
    <s v="No"/>
    <n v="238"/>
    <b v="0"/>
    <m/>
    <s v="Tweet"/>
    <x v="150"/>
    <s v="Kembali Maju ke MK Agar Presidential Threshold Nol Persen, Lieus Sungkharisma: Pasal 222 UU No 7/2017 Bertentangan dengan UUD 45_x000a_https://t.co/PCwNRNmmvP"/>
    <n v="21"/>
    <n v="81"/>
    <n v="2"/>
    <n v="1"/>
    <m/>
    <m/>
    <s v="https://www.oposisicerdas.com/2021/12/kembali-maju-ke-mk-agar-presidential.html"/>
    <s v="oposisicerdas.com"/>
    <m/>
    <m/>
    <m/>
    <s v="Twitter Web App"/>
    <s v="in"/>
    <s v="https://twitter.com/oposisicerdas/status/1475627066351489028"/>
    <d v="2021-12-28T00:38:03.000"/>
    <d v="2021-12-28T00:00:00.000"/>
    <s v="00:38:03"/>
    <b v="0"/>
    <m/>
    <m/>
    <m/>
    <m/>
    <m/>
    <m/>
    <m/>
    <m/>
    <m/>
    <m/>
    <m/>
    <m/>
    <s v="https://pbs.twimg.com/profile_images/1238029886066851841/eqxRguVj_normal.jpg"/>
    <s v="1475627066351489028"/>
    <s v="1475627066351489028"/>
    <m/>
    <s v=""/>
    <s v=""/>
    <s v=""/>
    <s v="1475627066351489028"/>
    <s v="887743587579944960"/>
    <m/>
    <m/>
    <m/>
    <m/>
    <m/>
    <n v="3"/>
    <n v="14.285714285714286"/>
    <n v="0"/>
    <n v="0"/>
    <n v="0"/>
    <n v="0"/>
    <n v="17"/>
    <n v="80.95238095238095"/>
    <n v="21"/>
    <n v="64"/>
    <s v="10"/>
    <s v="10"/>
  </r>
  <r>
    <s v="rasyeed_amree"/>
    <s v="oposisicerdas"/>
    <m/>
    <m/>
    <m/>
    <m/>
    <m/>
    <m/>
    <m/>
    <m/>
    <s v="No"/>
    <n v="239"/>
    <b v="0"/>
    <m/>
    <s v="Replies to"/>
    <x v="151"/>
    <s v="@OposisiCerdas Mesti ngunu wong Iki, cangkem elek_x000a__x000a_#PeoplePower _x000a_#salamnolpersen"/>
    <n v="0"/>
    <n v="0"/>
    <n v="0"/>
    <n v="0"/>
    <m/>
    <s v="peoplepower salamnolpersen"/>
    <m/>
    <m/>
    <s v="oposisicerdas"/>
    <m/>
    <m/>
    <s v="Twitter for Android"/>
    <s v="in"/>
    <s v="https://twitter.com/rasyeed_amree/status/1502768619536539649"/>
    <d v="2022-03-12T22:08:53.000"/>
    <d v="2022-03-12T00:00:00.000"/>
    <s v="22:08:53"/>
    <m/>
    <m/>
    <m/>
    <m/>
    <m/>
    <m/>
    <m/>
    <m/>
    <m/>
    <m/>
    <m/>
    <m/>
    <m/>
    <s v="https://pbs.twimg.com/profile_images/1561304180655943680/YZrRUe5N_normal.jpg"/>
    <s v="1502768619536539649"/>
    <s v="1502653021784014850"/>
    <s v="887743587579944960"/>
    <s v="1502653021784014850"/>
    <s v=""/>
    <s v=""/>
    <s v="1502653021784014850"/>
    <s v="1007504707038789632"/>
    <m/>
    <m/>
    <m/>
    <m/>
    <m/>
    <n v="1"/>
    <n v="11.11111111111111"/>
    <n v="0"/>
    <n v="0"/>
    <n v="0"/>
    <n v="0"/>
    <n v="8"/>
    <n v="88.88888888888889"/>
    <n v="9"/>
    <n v="27"/>
    <s v="10"/>
    <s v="10"/>
  </r>
  <r>
    <s v="amrullahkareem1"/>
    <s v="amrullahkareem1"/>
    <m/>
    <m/>
    <m/>
    <m/>
    <m/>
    <m/>
    <m/>
    <m/>
    <s v="No"/>
    <n v="240"/>
    <b v="1"/>
    <m/>
    <s v="Tweet"/>
    <x v="152"/>
    <s v="#SalamNolPersen"/>
    <n v="0"/>
    <n v="0"/>
    <n v="0"/>
    <n v="0"/>
    <m/>
    <s v="salamnolpersen"/>
    <m/>
    <m/>
    <m/>
    <m/>
    <m/>
    <s v="Twitter for Android"/>
    <s v="qht"/>
    <s v="https://twitter.com/amrullahkareem1/status/1470766040544075778"/>
    <d v="2021-12-14T14:42:04.000"/>
    <d v="2021-12-14T00:00:00.000"/>
    <s v="14:42:04"/>
    <m/>
    <m/>
    <m/>
    <m/>
    <m/>
    <m/>
    <m/>
    <m/>
    <m/>
    <m/>
    <m/>
    <m/>
    <m/>
    <s v="https://pbs.twimg.com/profile_images/1698015402755080192/QtWkIROy_normal.jpg"/>
    <s v="1470766040544075778"/>
    <s v="1470766040544075778"/>
    <m/>
    <s v=""/>
    <s v=""/>
    <s v=""/>
    <s v="1470766040544075778"/>
    <n v="533765689"/>
    <m/>
    <m/>
    <m/>
    <m/>
    <m/>
    <n v="0"/>
    <n v="0"/>
    <n v="0"/>
    <n v="0"/>
    <n v="0"/>
    <n v="0"/>
    <n v="1"/>
    <n v="100"/>
    <n v="1"/>
    <n v="1"/>
    <s v="4"/>
    <s v="4"/>
  </r>
  <r>
    <s v="naylaazkiaa"/>
    <s v="argentianaa"/>
    <m/>
    <m/>
    <m/>
    <m/>
    <m/>
    <m/>
    <m/>
    <m/>
    <s v="No"/>
    <n v="241"/>
    <b v="1"/>
    <m/>
    <s v="MentionsInReplyTo"/>
    <x v="153"/>
    <s v="@syafniir @eddyroyady @BosRadikal @Rayashanum1 @__NRamadh4n @Jul3aRhma3 @Stevaniehuangg @Queen__Lagi @ArgentianaA Salam kenal ya...._x000a_Semoga omset kita di 2022 naik pesat_x000a__x000a_Bisa tambah property dan kendaraan roda 4. Oh ya, PPnBM nol persen masih berlanjut di 2022 😁😁🙏🙏"/>
    <n v="0"/>
    <n v="2"/>
    <n v="1"/>
    <n v="0"/>
    <m/>
    <m/>
    <m/>
    <m/>
    <s v="syafniir eddyroyady bosradikal rayashanum1 jul3arhma3 argentianaa"/>
    <m/>
    <m/>
    <s v="Twitter for Android"/>
    <s v="in"/>
    <s v="https://twitter.com/naylaazkiaa/status/1483661268859105280"/>
    <d v="2022-01-19T04:43:06.000"/>
    <d v="2022-01-19T00:00:00.000"/>
    <s v="04:43:06"/>
    <m/>
    <m/>
    <m/>
    <m/>
    <m/>
    <m/>
    <m/>
    <m/>
    <m/>
    <m/>
    <m/>
    <m/>
    <m/>
    <s v="https://pbs.twimg.com/profile_images/1439178090400256007/QzRHU2t-_normal.jpg"/>
    <s v="1483661268859105280"/>
    <s v="1483656503257333763"/>
    <s v="1309506896294866950"/>
    <s v="1483656503257333763"/>
    <s v=""/>
    <s v=""/>
    <s v="1483656503257333763"/>
    <s v="1283276851662602240"/>
    <m/>
    <m/>
    <m/>
    <m/>
    <m/>
    <m/>
    <m/>
    <m/>
    <m/>
    <m/>
    <m/>
    <m/>
    <m/>
    <m/>
    <n v="1"/>
    <s v="11"/>
    <s v="11"/>
  </r>
  <r>
    <s v="reflyhz"/>
    <s v="reflyhz"/>
    <m/>
    <m/>
    <m/>
    <m/>
    <m/>
    <m/>
    <m/>
    <m/>
    <s v="No"/>
    <n v="247"/>
    <b v="0"/>
    <m/>
    <s v="Tweet"/>
    <x v="154"/>
    <s v="Menunggu air jadi mendidih_x000a_Untuk diminum anak dan bini_x000a_Saya kok menjadi sedih_x000a_Penegakan hukum jadi begini"/>
    <n v="888"/>
    <n v="4828"/>
    <n v="873"/>
    <n v="138"/>
    <m/>
    <m/>
    <m/>
    <m/>
    <m/>
    <m/>
    <m/>
    <s v="Twitter Web App"/>
    <s v="in"/>
    <s v="https://twitter.com/reflyhz/status/1477713089839570945"/>
    <d v="2022-01-02T18:47:09.000"/>
    <d v="2022-01-02T00:00:00.000"/>
    <s v="18:47:09"/>
    <m/>
    <m/>
    <m/>
    <m/>
    <m/>
    <m/>
    <m/>
    <m/>
    <m/>
    <m/>
    <m/>
    <m/>
    <m/>
    <s v="https://pbs.twimg.com/profile_images/1214626093501538305/VyCT9vZX_normal.jpg"/>
    <s v="1477713089839570945"/>
    <s v="1477713089839570945"/>
    <m/>
    <s v=""/>
    <s v=""/>
    <s v=""/>
    <s v="1477713089839570945"/>
    <n v="185116088"/>
    <m/>
    <m/>
    <m/>
    <m/>
    <m/>
    <n v="0"/>
    <n v="0"/>
    <n v="0"/>
    <n v="0"/>
    <n v="0"/>
    <n v="0"/>
    <n v="17"/>
    <n v="100"/>
    <n v="17"/>
    <n v="8"/>
    <s v="9"/>
    <s v="9"/>
  </r>
  <r>
    <s v="jokolipservice"/>
    <s v="reflyhz"/>
    <m/>
    <m/>
    <m/>
    <m/>
    <m/>
    <m/>
    <m/>
    <m/>
    <s v="No"/>
    <n v="248"/>
    <b v="1"/>
    <m/>
    <s v="Replies to"/>
    <x v="155"/>
    <s v="@ReflyHZ @simobawa Semoga perjuangan membuahkan hasil..._x000a__x000a_#SALAMNOLPERSEN"/>
    <n v="0"/>
    <n v="3"/>
    <n v="0"/>
    <n v="0"/>
    <m/>
    <s v="salamnolpersen"/>
    <m/>
    <m/>
    <s v="reflyhz simobawa"/>
    <m/>
    <m/>
    <s v="Twitter for Android"/>
    <s v="in"/>
    <s v="https://twitter.com/jokolipservice/status/1481569463841746946"/>
    <d v="2022-01-13T10:11:01.000"/>
    <d v="2022-01-13T00:00:00.000"/>
    <s v="10:11:01"/>
    <m/>
    <m/>
    <m/>
    <m/>
    <m/>
    <m/>
    <m/>
    <m/>
    <m/>
    <m/>
    <m/>
    <m/>
    <m/>
    <s v="https://pbs.twimg.com/profile_images/1720824613675163648/qp2uj9Te_normal.jpg"/>
    <s v="1481569463841746946"/>
    <s v="1479042455064350721"/>
    <s v="185116088"/>
    <s v="1479042455064350721"/>
    <s v=""/>
    <s v=""/>
    <s v="1479042455064350721"/>
    <n v="2377644162"/>
    <m/>
    <m/>
    <m/>
    <m/>
    <m/>
    <n v="2"/>
    <n v="28.571428571428573"/>
    <n v="0"/>
    <n v="0"/>
    <n v="0"/>
    <n v="0"/>
    <n v="5"/>
    <n v="71.42857142857143"/>
    <n v="7"/>
    <n v="1"/>
    <s v="9"/>
    <s v="9"/>
  </r>
  <r>
    <s v="krmtroysuryo2"/>
    <s v="krmtroysuryo2"/>
    <m/>
    <m/>
    <m/>
    <m/>
    <m/>
    <m/>
    <m/>
    <m/>
    <s v="No"/>
    <n v="249"/>
    <b v="1"/>
    <m/>
    <s v="Tweet"/>
    <x v="156"/>
    <s v="Tadinya sempat saya kira ini hanya &quot;clickbait&quot; media (utk mendapat perhatian saja)._x000a_Namun ketika media sekelas Detik, Tribun, Liputan 6-pun menuliskan hal yg sama,_x000a_Apakah layak suara Muadzin -yg mengumandangkan Adzan, panggilan Sholat- dibandingkan dgn Gonggongan Anjing ?_x000a_AMBYAR https://t.co/bpnxrGCGZs"/>
    <n v="1549"/>
    <n v="4352"/>
    <n v="728"/>
    <n v="281"/>
    <m/>
    <m/>
    <m/>
    <m/>
    <m/>
    <s v="https://t.co/bpnxrGCGZs https://t.co/bpnxrGCGZs https://t.co/bpnxrGCGZs https://t.co/bpnxrGCGZs https://pbs.twimg.com/media/FMSq17aUUAIvozT.jpg https://pbs.twimg.com/media/FMSq2W_VEAI19c9.jpg https://pbs.twimg.com/media/FMSq236VUAUcTzd.jpg https://pbs.twimg.com/media/FMSq3aRUUAIqlKw.jpg"/>
    <s v="photo photo photo photo"/>
    <s v="Twitter for Android"/>
    <s v="in"/>
    <s v="https://twitter.com/krmtroysuryo2/status/1496508851952451586"/>
    <d v="2022-02-23T15:34:48.000"/>
    <d v="2022-02-23T00:00:00.000"/>
    <s v="15:34:48"/>
    <b v="0"/>
    <m/>
    <m/>
    <m/>
    <m/>
    <m/>
    <m/>
    <m/>
    <s v="3_1496508819651710978 3_1496508827054706690 3_1496508835892121605 3_1496508845115330562"/>
    <m/>
    <m/>
    <m/>
    <m/>
    <s v="https://pbs.twimg.com/media/FMSq17aUUAIvozT.jpg"/>
    <s v="1496508851952451586"/>
    <s v="1496508851952451586"/>
    <m/>
    <s v=""/>
    <s v=""/>
    <s v=""/>
    <s v="1496508851952451586"/>
    <s v="901340008820260864"/>
    <m/>
    <m/>
    <m/>
    <m/>
    <m/>
    <n v="2"/>
    <n v="5.128205128205129"/>
    <n v="1"/>
    <n v="2.5641025641025643"/>
    <n v="0"/>
    <n v="0"/>
    <n v="36"/>
    <n v="92.3076923076923"/>
    <n v="39"/>
    <n v="1"/>
    <s v="23"/>
    <s v="23"/>
  </r>
  <r>
    <s v="nasirudin_manan"/>
    <s v="partaigeloraid"/>
    <m/>
    <m/>
    <m/>
    <m/>
    <m/>
    <m/>
    <m/>
    <m/>
    <s v="No"/>
    <n v="250"/>
    <b v="1"/>
    <m/>
    <s v="MentionsInQuote"/>
    <x v="157"/>
    <s v="Betul itu bang, semoga partai @partaigeloraid lulus ke parlemen. #SalamNolPersen"/>
    <n v="0"/>
    <n v="0"/>
    <n v="0"/>
    <n v="0"/>
    <m/>
    <s v="salamnolpersen"/>
    <m/>
    <m/>
    <s v="partaigeloraid"/>
    <m/>
    <m/>
    <s v="Twitter for Android"/>
    <s v="in"/>
    <s v="https://twitter.com/nasirudin_manan/status/1485798827416518658"/>
    <d v="2022-01-25T02:16:59.000"/>
    <d v="2022-01-25T00:00:00.000"/>
    <s v="02:16:59"/>
    <m/>
    <m/>
    <m/>
    <m/>
    <m/>
    <m/>
    <m/>
    <m/>
    <m/>
    <m/>
    <m/>
    <m/>
    <m/>
    <s v="https://pbs.twimg.com/profile_images/1690969260951281664/qNfddUQH_normal.jpg"/>
    <s v="1485798827416518658"/>
    <s v="1485798827416518658"/>
    <m/>
    <s v=""/>
    <s v="1485796934308986880"/>
    <s v=""/>
    <s v="1485796934308986880"/>
    <s v="1485579860282339328"/>
    <m/>
    <m/>
    <m/>
    <m/>
    <m/>
    <m/>
    <m/>
    <m/>
    <m/>
    <m/>
    <m/>
    <m/>
    <m/>
    <m/>
    <n v="1"/>
    <s v="14"/>
    <s v="14"/>
  </r>
  <r>
    <s v="fahrihamzah"/>
    <s v="fahrihamzah"/>
    <m/>
    <m/>
    <m/>
    <m/>
    <m/>
    <m/>
    <m/>
    <m/>
    <s v="No"/>
    <n v="252"/>
    <b v="0"/>
    <m/>
    <s v="Tweet"/>
    <x v="158"/>
    <s v="Karena jadwal pencoblosan pemilu sudah ditetapkan 14/2/2024.. Maka gak usah bahas2 lagi skenario  lain.. Kasi waktu presiden untuk selesaikan tugas... Kalau ada keputusan MK di tengah perjalanan ya harus dihormati. Udah sekarang pada tenang2 ya. Siap2 tarung secara terhormat!"/>
    <n v="136"/>
    <n v="1062"/>
    <n v="174"/>
    <n v="30"/>
    <m/>
    <m/>
    <m/>
    <m/>
    <m/>
    <m/>
    <m/>
    <s v="Twitter for Android"/>
    <s v="in"/>
    <s v="https://twitter.com/fahrihamzah/status/1485796934308986880"/>
    <d v="2022-01-25T02:09:28.000"/>
    <d v="2022-01-25T00:00:00.000"/>
    <s v="02:09:28"/>
    <m/>
    <m/>
    <m/>
    <m/>
    <m/>
    <m/>
    <m/>
    <m/>
    <m/>
    <m/>
    <m/>
    <m/>
    <m/>
    <s v="https://pbs.twimg.com/profile_images/1371238762185854983/ll_44DLi_normal.jpg"/>
    <s v="1485796934308986880"/>
    <s v="1485796934308986880"/>
    <m/>
    <s v=""/>
    <s v=""/>
    <s v=""/>
    <s v="1485796934308986880"/>
    <n v="120968478"/>
    <m/>
    <m/>
    <m/>
    <m/>
    <m/>
    <n v="3"/>
    <n v="7.317073170731708"/>
    <n v="0"/>
    <n v="0"/>
    <n v="0"/>
    <n v="0"/>
    <n v="38"/>
    <n v="92.6829268292683"/>
    <n v="41"/>
    <n v="1"/>
    <s v="14"/>
    <s v="14"/>
  </r>
  <r>
    <s v="rachman_ayah"/>
    <s v="fahrihamzah"/>
    <m/>
    <m/>
    <m/>
    <m/>
    <m/>
    <m/>
    <m/>
    <m/>
    <s v="No"/>
    <n v="253"/>
    <b v="0"/>
    <m/>
    <s v="Replies to"/>
    <x v="159"/>
    <s v="@Fahrihamzah Boleh lah jadi Vokalis..tapi jangan lupa sama Bandnya,kasihan loh Band Barunya,kok cuma Vokalisnya aja yg beken...coba Bang n Bandnya sama minta Lagu...SALAM NOL PERSEN..biar ikut perlombaan nantinya"/>
    <n v="0"/>
    <n v="5"/>
    <n v="1"/>
    <n v="0"/>
    <n v="4837"/>
    <m/>
    <m/>
    <m/>
    <s v="fahrihamzah"/>
    <m/>
    <m/>
    <s v="Twitter for Android"/>
    <s v="in"/>
    <s v="https://twitter.com/rachman_ayah/status/1610551191850881027"/>
    <d v="2023-01-04T08:18:21.000"/>
    <d v="2023-01-04T00:00:00.000"/>
    <s v="08:18:21"/>
    <m/>
    <m/>
    <m/>
    <m/>
    <m/>
    <m/>
    <m/>
    <m/>
    <m/>
    <m/>
    <m/>
    <m/>
    <m/>
    <s v="https://pbs.twimg.com/profile_images/1464279451563397122/ZnNNWFJ__normal.png"/>
    <s v="1610551191850881027"/>
    <s v="1610543672919199746"/>
    <s v="120968478"/>
    <s v="1610543672919199746"/>
    <s v=""/>
    <s v=""/>
    <s v="1610543672919199746"/>
    <s v="1464279308499881997"/>
    <m/>
    <m/>
    <m/>
    <m/>
    <m/>
    <n v="7"/>
    <n v="20.58823529411765"/>
    <n v="3"/>
    <n v="8.823529411764707"/>
    <n v="0"/>
    <n v="0"/>
    <n v="24"/>
    <n v="70.58823529411765"/>
    <n v="34"/>
    <n v="1"/>
    <s v="14"/>
    <s v="14"/>
  </r>
  <r>
    <s v="dek_bintank"/>
    <s v="dek_bintank"/>
    <m/>
    <m/>
    <m/>
    <m/>
    <m/>
    <m/>
    <m/>
    <m/>
    <s v="No"/>
    <n v="254"/>
    <b v="0"/>
    <m/>
    <s v="Tweet"/>
    <x v="160"/>
    <s v="Lagu Salam Nol Persen_x000a_Vokal Ogie Cherista_x000a_Syair Refly Harun_x000a_✋🤣_x000a__ https://t.co/euQ0QaSQe0"/>
    <n v="6"/>
    <n v="17"/>
    <n v="2"/>
    <n v="2"/>
    <m/>
    <m/>
    <m/>
    <m/>
    <m/>
    <s v="https://t.co/euQ0QaSQe0 https://pbs.twimg.com/ext_tw_video_thumb/1489208786141454337/pu/img/_IiGT3yzOMR9XODZ.jpg"/>
    <s v="video"/>
    <s v="Twitter for Android"/>
    <s v="in"/>
    <s v="https://twitter.com/dek_bintank/status/1489208963480842240"/>
    <d v="2022-02-03T12:07:39.000"/>
    <d v="2022-02-03T00:00:00.000"/>
    <s v="12:07:39"/>
    <b v="0"/>
    <m/>
    <m/>
    <m/>
    <m/>
    <m/>
    <m/>
    <m/>
    <s v="7_1489208786141454337"/>
    <n v="107431"/>
    <m/>
    <m/>
    <m/>
    <s v="https://pbs.twimg.com/ext_tw_video_thumb/1489208786141454337/pu/img/_IiGT3yzOMR9XODZ.jpg"/>
    <s v="1489208963480842240"/>
    <s v="1489208963480842240"/>
    <m/>
    <s v=""/>
    <s v=""/>
    <s v=""/>
    <s v="1489208963480842240"/>
    <s v="1333741476153421825"/>
    <m/>
    <m/>
    <m/>
    <m/>
    <m/>
    <n v="3"/>
    <n v="27.272727272727273"/>
    <n v="0"/>
    <n v="0"/>
    <n v="0"/>
    <n v="0"/>
    <n v="8"/>
    <n v="72.72727272727273"/>
    <n v="11"/>
    <n v="1"/>
    <s v="22"/>
    <s v="22"/>
  </r>
  <r>
    <s v="presedentbuzzer"/>
    <s v="dek_bintank"/>
    <m/>
    <m/>
    <m/>
    <m/>
    <m/>
    <m/>
    <m/>
    <m/>
    <s v="No"/>
    <n v="255"/>
    <b v="0"/>
    <m/>
    <s v="Quote"/>
    <x v="161"/>
    <s v="Salam pancasila salam nol persen"/>
    <n v="0"/>
    <n v="0"/>
    <n v="0"/>
    <n v="0"/>
    <m/>
    <m/>
    <m/>
    <m/>
    <m/>
    <m/>
    <m/>
    <s v="Twitter for Android"/>
    <s v="in"/>
    <s v="https://twitter.com/presedentbuzzer/status/1489350367054004224"/>
    <d v="2022-02-03T21:29:32.000"/>
    <d v="2022-02-03T00:00:00.000"/>
    <s v="21:29:32"/>
    <m/>
    <m/>
    <m/>
    <m/>
    <m/>
    <m/>
    <m/>
    <m/>
    <m/>
    <m/>
    <m/>
    <m/>
    <m/>
    <s v="https://pbs.twimg.com/profile_images/1410778214335619073/BBsUoxG1_normal.jpg"/>
    <s v="1489350367054004224"/>
    <s v="1489350367054004224"/>
    <m/>
    <s v=""/>
    <s v="1489208963480842240"/>
    <s v=""/>
    <s v="1489208963480842240"/>
    <s v="923263651368202240"/>
    <m/>
    <m/>
    <m/>
    <m/>
    <m/>
    <n v="4"/>
    <n v="80"/>
    <n v="0"/>
    <n v="0"/>
    <n v="0"/>
    <n v="0"/>
    <n v="1"/>
    <n v="20"/>
    <n v="5"/>
    <n v="1"/>
    <s v="22"/>
    <s v="22"/>
  </r>
  <r>
    <s v="dikisoesanto"/>
    <s v="susipudjiastuti"/>
    <m/>
    <m/>
    <m/>
    <m/>
    <m/>
    <m/>
    <m/>
    <m/>
    <s v="No"/>
    <n v="256"/>
    <b v="1"/>
    <m/>
    <s v="Replies to"/>
    <x v="162"/>
    <s v="@susipudjiastuti Ini proyek akan mangkrak..  Apalagi kalo pemilu 2024 dimenangkan oleh oposisi yg skrg kenceng nolak.. Akhirnya.. Buang2 uang aja... #salamakalsehat #salamnolpersen"/>
    <n v="0"/>
    <n v="0"/>
    <n v="1"/>
    <n v="0"/>
    <m/>
    <s v="salamakalsehat salamnolpersen"/>
    <m/>
    <m/>
    <s v="susipudjiastuti"/>
    <m/>
    <m/>
    <s v="Twitter for Android"/>
    <s v="in"/>
    <s v="https://twitter.com/dikisoesanto/status/1519719824318164992"/>
    <d v="2022-04-28T16:46:55.000"/>
    <d v="2022-04-28T00:00:00.000"/>
    <s v="16:46:55"/>
    <m/>
    <m/>
    <m/>
    <m/>
    <m/>
    <m/>
    <m/>
    <m/>
    <m/>
    <m/>
    <m/>
    <m/>
    <m/>
    <s v="https://pbs.twimg.com/profile_images/1516829290389655554/9sqvdRFL_normal.jpg"/>
    <s v="1519719824318164992"/>
    <s v="1517801206605053952"/>
    <s v="2606229566"/>
    <s v="1517801206605053952"/>
    <s v=""/>
    <s v=""/>
    <s v="1517801206605053952"/>
    <n v="1433255858"/>
    <m/>
    <m/>
    <m/>
    <m/>
    <m/>
    <n v="0"/>
    <n v="0"/>
    <n v="0"/>
    <n v="0"/>
    <n v="0"/>
    <n v="0"/>
    <n v="22"/>
    <n v="100"/>
    <n v="22"/>
    <n v="1"/>
    <s v="21"/>
    <s v="21"/>
  </r>
  <r>
    <s v="salamduadj"/>
    <s v="salamduadj"/>
    <m/>
    <m/>
    <m/>
    <m/>
    <m/>
    <m/>
    <m/>
    <m/>
    <s v="No"/>
    <n v="257"/>
    <b v="0"/>
    <m/>
    <s v="Tweet"/>
    <x v="163"/>
    <s v="Salam Nol Persen dari Presidential Threshold. _x000a_#PeriksaAnakLurah _x000a_#PeriksaAnakLurah _x000a__x000a_Youtube. https://t.co/9qu8aJrkwF"/>
    <n v="7"/>
    <n v="16"/>
    <n v="1"/>
    <n v="0"/>
    <m/>
    <s v="periksaanaklurah periksaanaklurah"/>
    <m/>
    <m/>
    <m/>
    <s v="https://t.co/9qu8aJrkwF https://pbs.twimg.com/media/FJBN-XcaIAUmZmw.jpg"/>
    <s v="photo"/>
    <s v="Twitter for Android"/>
    <s v="en"/>
    <s v="https://twitter.com/salamduadj/status/1481770013724135424"/>
    <d v="2022-01-13T23:27:55.000"/>
    <d v="2022-01-13T00:00:00.000"/>
    <s v="23:27:55"/>
    <b v="0"/>
    <m/>
    <m/>
    <m/>
    <m/>
    <m/>
    <m/>
    <m/>
    <s v="3_1481770011245289477"/>
    <m/>
    <m/>
    <m/>
    <m/>
    <s v="https://pbs.twimg.com/media/FJBN-XcaIAUmZmw.jpg"/>
    <s v="1481770013724135424"/>
    <s v="1481770013724135424"/>
    <m/>
    <s v=""/>
    <s v=""/>
    <s v=""/>
    <s v="1481770013724135424"/>
    <s v="1398702978421297161"/>
    <m/>
    <m/>
    <m/>
    <m/>
    <m/>
    <n v="3"/>
    <n v="33.333333333333336"/>
    <n v="0"/>
    <n v="0"/>
    <n v="0"/>
    <n v="0"/>
    <n v="6"/>
    <n v="66.66666666666667"/>
    <n v="9"/>
    <n v="1"/>
    <s v="4"/>
    <s v="4"/>
  </r>
  <r>
    <s v="democrazymedia"/>
    <s v="democrazymedia"/>
    <m/>
    <m/>
    <m/>
    <m/>
    <m/>
    <m/>
    <m/>
    <m/>
    <s v="No"/>
    <n v="258"/>
    <b v="0"/>
    <m/>
    <s v="Tweet"/>
    <x v="164"/>
    <s v="Proyek IKN Baru Dikritik Banyak Kalangan, Refly Harun: DPR Tak Berkutik di Hadapan Jokowi!_x000a_https://t.co/zAGBg43rO1"/>
    <n v="309"/>
    <n v="1155"/>
    <n v="110"/>
    <n v="31"/>
    <m/>
    <m/>
    <s v="https://www.democrazy.id/2022/02/Proyek-IKN-Baru-Dikritik-Banyak-Kalangan-Refly-Harun-DPR-Tak-Berkutik-di-Hadapan-Jokowi.html"/>
    <s v="democrazy.id"/>
    <m/>
    <m/>
    <m/>
    <s v="TweetDeck"/>
    <s v="in"/>
    <s v="https://twitter.com/democrazymedia/status/1488511201390710790"/>
    <d v="2022-02-01T13:55:00.000"/>
    <d v="2022-02-01T00:00:00.000"/>
    <s v="13:55:00"/>
    <b v="0"/>
    <m/>
    <m/>
    <m/>
    <m/>
    <m/>
    <m/>
    <m/>
    <m/>
    <m/>
    <m/>
    <m/>
    <m/>
    <s v="https://pbs.twimg.com/profile_images/1480783321609113600/9C8OVc7R_normal.png"/>
    <s v="1488511201390710790"/>
    <s v="1488511201390710790"/>
    <m/>
    <s v=""/>
    <s v=""/>
    <s v=""/>
    <s v="1488511201390710790"/>
    <s v="1243804423001763841"/>
    <m/>
    <m/>
    <m/>
    <m/>
    <m/>
    <n v="0"/>
    <n v="0"/>
    <n v="0"/>
    <n v="0"/>
    <n v="0"/>
    <n v="0"/>
    <n v="14"/>
    <n v="100"/>
    <n v="14"/>
    <n v="8"/>
    <s v="2"/>
    <s v="2"/>
  </r>
  <r>
    <s v="pmf_qu"/>
    <s v="democrazymedia"/>
    <m/>
    <m/>
    <m/>
    <m/>
    <m/>
    <m/>
    <m/>
    <m/>
    <s v="No"/>
    <n v="259"/>
    <b v="0"/>
    <m/>
    <s v="Quote"/>
    <x v="165"/>
    <s v="SALAM  NOL  PERSEN_x000a__x000a_* 2024 bersihkan eksekutif dan legislatif yg tidak PRO RAKYAT."/>
    <n v="0"/>
    <n v="0"/>
    <n v="0"/>
    <n v="0"/>
    <m/>
    <m/>
    <m/>
    <m/>
    <m/>
    <m/>
    <m/>
    <s v="Twitter for iPhone"/>
    <s v="in"/>
    <s v="https://twitter.com/pmf_qu/status/1489127932312186884"/>
    <d v="2022-02-03T06:45:40.000"/>
    <d v="2022-02-03T00:00:00.000"/>
    <s v="06:45:40"/>
    <m/>
    <m/>
    <m/>
    <m/>
    <m/>
    <m/>
    <m/>
    <m/>
    <m/>
    <m/>
    <m/>
    <m/>
    <m/>
    <s v="https://abs.twimg.com/sticky/default_profile_images/default_profile_normal.png"/>
    <s v="1489127932312186884"/>
    <s v="1489127932312186884"/>
    <m/>
    <s v=""/>
    <s v="1488511201390710790"/>
    <s v=""/>
    <s v="1488511201390710790"/>
    <s v="1416724448619552769"/>
    <m/>
    <m/>
    <m/>
    <m/>
    <m/>
    <n v="3"/>
    <n v="25"/>
    <n v="1"/>
    <n v="8.333333333333334"/>
    <n v="0"/>
    <n v="0"/>
    <n v="8"/>
    <n v="66.66666666666667"/>
    <n v="12"/>
    <n v="1"/>
    <s v="2"/>
    <s v="2"/>
  </r>
  <r>
    <s v="tempodotco"/>
    <s v="tempodotco"/>
    <m/>
    <m/>
    <m/>
    <m/>
    <m/>
    <m/>
    <m/>
    <m/>
    <s v="No"/>
    <n v="260"/>
    <b v="1"/>
    <m/>
    <s v="Tweet"/>
    <x v="166"/>
    <s v="Kementerian Kesehatan mengakui ada klaim tagihan penanganan Covid-19 yang tak bisa dibayarkan pemerintah kepada rumah sakit, nilainya triliunan. #TempoNasional https://t.co/qVWIzj5z3T"/>
    <n v="483"/>
    <n v="1166"/>
    <n v="254"/>
    <n v="113"/>
    <m/>
    <s v="temponasional"/>
    <s v="https://bit.ly/3rJk6To"/>
    <s v="bit.ly"/>
    <m/>
    <m/>
    <m/>
    <s v="TweetDeck"/>
    <s v="in"/>
    <s v="https://twitter.com/tempodotco/status/1492855313321836544"/>
    <d v="2022-02-13T13:36:57.000"/>
    <d v="2022-02-13T00:00:00.000"/>
    <s v="13:36:57"/>
    <b v="0"/>
    <m/>
    <m/>
    <m/>
    <m/>
    <m/>
    <m/>
    <m/>
    <m/>
    <m/>
    <m/>
    <m/>
    <m/>
    <s v="https://pbs.twimg.com/profile_images/1580466468629594112/Q-zcV6aQ_normal.jpg"/>
    <s v="1492855313321836544"/>
    <s v="1492855313321836544"/>
    <m/>
    <s v=""/>
    <s v=""/>
    <s v=""/>
    <s v="1492855313321836544"/>
    <n v="18129942"/>
    <m/>
    <m/>
    <m/>
    <m/>
    <m/>
    <n v="1"/>
    <n v="5"/>
    <n v="0"/>
    <n v="0"/>
    <n v="0"/>
    <n v="0"/>
    <n v="19"/>
    <n v="95"/>
    <n v="20"/>
    <n v="1"/>
    <s v="2"/>
    <s v="2"/>
  </r>
  <r>
    <s v="pmf_qu"/>
    <s v="tempodotco"/>
    <m/>
    <m/>
    <m/>
    <m/>
    <m/>
    <m/>
    <m/>
    <m/>
    <s v="No"/>
    <n v="261"/>
    <b v="0"/>
    <m/>
    <s v="Quote"/>
    <x v="167"/>
    <s v="Pindah IKN pakai apa bong???_x000a__x000a_* Salam NOL PERSEN"/>
    <n v="0"/>
    <n v="0"/>
    <n v="0"/>
    <n v="0"/>
    <m/>
    <m/>
    <m/>
    <m/>
    <m/>
    <m/>
    <m/>
    <s v="Twitter for iPhone"/>
    <s v="in"/>
    <s v="https://twitter.com/pmf_qu/status/1493217880342601728"/>
    <d v="2022-02-14T13:37:39.000"/>
    <d v="2022-02-14T00:00:00.000"/>
    <s v="13:37:39"/>
    <m/>
    <m/>
    <m/>
    <m/>
    <m/>
    <m/>
    <m/>
    <m/>
    <m/>
    <m/>
    <m/>
    <m/>
    <m/>
    <s v="https://abs.twimg.com/sticky/default_profile_images/default_profile_normal.png"/>
    <s v="1493217880342601728"/>
    <s v="1493217880342601728"/>
    <m/>
    <s v=""/>
    <s v="1492855313321836544"/>
    <s v=""/>
    <s v="1492855313321836544"/>
    <s v="1416724448619552769"/>
    <m/>
    <m/>
    <m/>
    <m/>
    <m/>
    <n v="3"/>
    <n v="37.5"/>
    <n v="0"/>
    <n v="0"/>
    <n v="0"/>
    <n v="0"/>
    <n v="5"/>
    <n v="62.5"/>
    <n v="8"/>
    <n v="1"/>
    <s v="2"/>
    <s v="2"/>
  </r>
  <r>
    <s v="alvinlie21"/>
    <s v="alvinlie21"/>
    <m/>
    <m/>
    <m/>
    <m/>
    <m/>
    <m/>
    <m/>
    <m/>
    <s v="No"/>
    <n v="262"/>
    <b v="1"/>
    <m/>
    <s v="Tweet"/>
    <x v="168"/>
    <s v="Ternyataaaa......._x000a__x000a_Turis Perdana ke Bali Dibiayai Kemenparekraf, Garuda dan Hotel_x000a__x000a_https://t.co/wGbuZXFXqL."/>
    <n v="725"/>
    <n v="1900"/>
    <n v="329"/>
    <n v="137"/>
    <m/>
    <m/>
    <s v="https://travel.detik.com/travel-news/d-5934657/turis-perdana-ke-bali-dibiayai-kemenparekraf-garuda-dan-hotel"/>
    <s v="detik.com"/>
    <m/>
    <m/>
    <m/>
    <s v="Twitter for Android"/>
    <s v="in"/>
    <s v="https://twitter.com/alvinlie21/status/1491984099606556677"/>
    <d v="2022-02-11T03:55:03.000"/>
    <d v="2022-02-11T00:00:00.000"/>
    <s v="03:55:03"/>
    <b v="0"/>
    <m/>
    <m/>
    <m/>
    <m/>
    <m/>
    <m/>
    <m/>
    <m/>
    <m/>
    <m/>
    <m/>
    <m/>
    <s v="https://pbs.twimg.com/profile_images/744161620062941185/L4pSOdwB_normal.jpg"/>
    <s v="1491984099606556677"/>
    <s v="1491984099606556677"/>
    <m/>
    <s v=""/>
    <s v=""/>
    <s v=""/>
    <s v="1491984099606556677"/>
    <n v="30648872"/>
    <m/>
    <m/>
    <m/>
    <m/>
    <m/>
    <n v="0"/>
    <n v="0"/>
    <n v="0"/>
    <n v="0"/>
    <n v="0"/>
    <n v="0"/>
    <n v="10"/>
    <n v="100"/>
    <n v="10"/>
    <n v="1"/>
    <s v="2"/>
    <s v="2"/>
  </r>
  <r>
    <s v="pmf_qu"/>
    <s v="alvinlie21"/>
    <m/>
    <m/>
    <m/>
    <m/>
    <m/>
    <m/>
    <m/>
    <m/>
    <s v="No"/>
    <n v="263"/>
    <b v="1"/>
    <m/>
    <s v="Quote"/>
    <x v="169"/>
    <s v="Waduh....._x000a__x000a_Begitu masuk gerombolan watak berubah?_x000a__x000a_#SalamNOLPersen"/>
    <n v="0"/>
    <n v="0"/>
    <n v="0"/>
    <n v="0"/>
    <m/>
    <s v="salamnolpersen"/>
    <m/>
    <m/>
    <m/>
    <m/>
    <m/>
    <s v="Twitter for iPhone"/>
    <s v="in"/>
    <s v="https://twitter.com/pmf_qu/status/1492024728638267393"/>
    <d v="2022-02-11T06:36:30.000"/>
    <d v="2022-02-11T00:00:00.000"/>
    <s v="06:36:30"/>
    <m/>
    <m/>
    <m/>
    <m/>
    <m/>
    <m/>
    <m/>
    <m/>
    <m/>
    <m/>
    <m/>
    <m/>
    <m/>
    <s v="https://abs.twimg.com/sticky/default_profile_images/default_profile_normal.png"/>
    <s v="1492024728638267393"/>
    <s v="1492024728638267393"/>
    <m/>
    <s v=""/>
    <s v="1491984099606556677"/>
    <s v=""/>
    <s v="1491984099606556677"/>
    <s v="1416724448619552769"/>
    <m/>
    <m/>
    <m/>
    <m/>
    <m/>
    <n v="1"/>
    <n v="14.285714285714286"/>
    <n v="0"/>
    <n v="0"/>
    <n v="0"/>
    <n v="0"/>
    <n v="6"/>
    <n v="85.71428571428571"/>
    <n v="7"/>
    <n v="1"/>
    <s v="2"/>
    <s v="2"/>
  </r>
  <r>
    <s v="hisyammochtar"/>
    <s v="hisyammochtar"/>
    <m/>
    <m/>
    <m/>
    <m/>
    <m/>
    <m/>
    <m/>
    <m/>
    <s v="No"/>
    <n v="264"/>
    <b v="1"/>
    <m/>
    <s v="Tweet"/>
    <x v="170"/>
    <s v="Kalo rapat bahas PT 0% katanya gak cukup waktu. Giliran RUU ibukota baru dikebut 16jam rampung. Rasanya koq gak ikhlas bayar pajak untuk gaji mereka. Apakah mereka itu masih MERASA sebagai wakil rakyat?"/>
    <n v="848"/>
    <n v="2932"/>
    <n v="172"/>
    <n v="44"/>
    <m/>
    <m/>
    <m/>
    <m/>
    <m/>
    <m/>
    <m/>
    <s v="Twitter for Android"/>
    <s v="in"/>
    <s v="https://twitter.com/hisyammochtar/status/1483374205899276292"/>
    <d v="2022-01-18T09:42:25.000"/>
    <d v="2022-01-18T00:00:00.000"/>
    <s v="09:42:25"/>
    <m/>
    <m/>
    <m/>
    <m/>
    <m/>
    <m/>
    <m/>
    <m/>
    <m/>
    <m/>
    <m/>
    <m/>
    <m/>
    <s v="https://pbs.twimg.com/profile_images/853071593538437120/yiK-9syp_normal.jpg"/>
    <s v="1483374205899276292"/>
    <s v="1483374205899276292"/>
    <m/>
    <s v=""/>
    <s v=""/>
    <s v=""/>
    <s v="1483374205899276292"/>
    <s v="853069924956160000"/>
    <m/>
    <m/>
    <m/>
    <m/>
    <m/>
    <n v="1"/>
    <n v="3.0303030303030303"/>
    <n v="0"/>
    <n v="0"/>
    <n v="0"/>
    <n v="0"/>
    <n v="32"/>
    <n v="96.96969696969697"/>
    <n v="33"/>
    <n v="1"/>
    <s v="2"/>
    <s v="2"/>
  </r>
  <r>
    <s v="pmf_qu"/>
    <s v="hisyammochtar"/>
    <m/>
    <m/>
    <m/>
    <m/>
    <m/>
    <m/>
    <m/>
    <m/>
    <s v="No"/>
    <n v="265"/>
    <b v="0"/>
    <m/>
    <s v="Quote"/>
    <x v="171"/>
    <s v="SALAM  NOL  PERSEN_x000a__x000a_* 2024 TENGGELAMKAN PARTAI YANG TIDAK BERPIHAK RAKYAT._x000a__x000a_#2024RakyatPunyaKuasa"/>
    <n v="0"/>
    <n v="1"/>
    <n v="0"/>
    <n v="0"/>
    <m/>
    <s v="2024rakyatpunyakuasa"/>
    <m/>
    <m/>
    <m/>
    <m/>
    <m/>
    <s v="Twitter for iPhone"/>
    <s v="in"/>
    <s v="https://twitter.com/pmf_qu/status/1483603743010856960"/>
    <d v="2022-01-19T00:54:31.000"/>
    <d v="2022-01-19T00:00:00.000"/>
    <s v="00:54:31"/>
    <m/>
    <m/>
    <m/>
    <m/>
    <m/>
    <m/>
    <m/>
    <m/>
    <m/>
    <m/>
    <m/>
    <m/>
    <m/>
    <s v="https://abs.twimg.com/sticky/default_profile_images/default_profile_normal.png"/>
    <s v="1483603743010856960"/>
    <s v="1483603743010856960"/>
    <m/>
    <s v=""/>
    <s v="1483374205899276292"/>
    <s v=""/>
    <s v="1483374205899276292"/>
    <s v="1416724448619552769"/>
    <m/>
    <m/>
    <m/>
    <m/>
    <m/>
    <n v="4"/>
    <n v="36.36363636363637"/>
    <n v="1"/>
    <n v="9.090909090909092"/>
    <n v="0"/>
    <n v="0"/>
    <n v="6"/>
    <n v="54.54545454545455"/>
    <n v="11"/>
    <n v="1"/>
    <s v="2"/>
    <s v="2"/>
  </r>
  <r>
    <s v="pmf_qu"/>
    <s v="acoybk"/>
    <m/>
    <m/>
    <m/>
    <m/>
    <m/>
    <m/>
    <m/>
    <m/>
    <s v="No"/>
    <n v="266"/>
    <b v="0"/>
    <m/>
    <s v="Quote"/>
    <x v="172"/>
    <s v="Waras &amp;amp; akal sehat serta merdeka hasilkan otak cerdas bukan ODDO._x000a__x000a_#SalamNOLPersen"/>
    <n v="0"/>
    <n v="0"/>
    <n v="0"/>
    <n v="0"/>
    <m/>
    <s v="salamnolpersen"/>
    <m/>
    <m/>
    <m/>
    <m/>
    <m/>
    <s v="Twitter for iPhone"/>
    <s v="in"/>
    <s v="https://twitter.com/pmf_qu/status/1494342829920845830"/>
    <d v="2022-02-17T16:07:48.000"/>
    <d v="2022-02-17T00:00:00.000"/>
    <s v="16:07:48"/>
    <m/>
    <m/>
    <m/>
    <m/>
    <m/>
    <m/>
    <m/>
    <m/>
    <m/>
    <m/>
    <m/>
    <m/>
    <m/>
    <s v="https://abs.twimg.com/sticky/default_profile_images/default_profile_normal.png"/>
    <s v="1494342829920845830"/>
    <s v="1494342829920845830"/>
    <m/>
    <s v=""/>
    <s v="1494307877430857733"/>
    <s v=""/>
    <s v="1494307877430857733"/>
    <s v="1416724448619552769"/>
    <m/>
    <m/>
    <m/>
    <m/>
    <m/>
    <n v="3"/>
    <n v="25"/>
    <n v="0"/>
    <n v="0"/>
    <n v="0"/>
    <n v="0"/>
    <n v="9"/>
    <n v="75"/>
    <n v="12"/>
    <n v="1"/>
    <s v="2"/>
    <s v="2"/>
  </r>
  <r>
    <s v="pmf_qu"/>
    <s v="adhiemassardi"/>
    <m/>
    <m/>
    <m/>
    <m/>
    <m/>
    <m/>
    <m/>
    <m/>
    <s v="No"/>
    <n v="267"/>
    <b v="0"/>
    <m/>
    <s v="Quote"/>
    <x v="173"/>
    <s v="Bersihkan calon pemimpin dari KKN_x000a__x000a_#SalamNolPersen"/>
    <n v="0"/>
    <n v="0"/>
    <n v="0"/>
    <n v="0"/>
    <m/>
    <s v="salamnolpersen"/>
    <m/>
    <m/>
    <m/>
    <m/>
    <m/>
    <s v="Twitter for iPhone"/>
    <s v="in"/>
    <s v="https://twitter.com/pmf_qu/status/1483605045338046467"/>
    <d v="2022-01-19T00:59:41.000"/>
    <d v="2022-01-19T00:00:00.000"/>
    <s v="00:59:41"/>
    <m/>
    <m/>
    <m/>
    <m/>
    <m/>
    <m/>
    <m/>
    <m/>
    <m/>
    <m/>
    <m/>
    <m/>
    <m/>
    <s v="https://abs.twimg.com/sticky/default_profile_images/default_profile_normal.png"/>
    <s v="1483605045338046467"/>
    <s v="1483605045338046467"/>
    <m/>
    <s v=""/>
    <s v="1483477489855115266"/>
    <s v=""/>
    <s v="1483477489855115266"/>
    <s v="1416724448619552769"/>
    <m/>
    <m/>
    <m/>
    <m/>
    <m/>
    <n v="0"/>
    <n v="0"/>
    <n v="2"/>
    <n v="33.333333333333336"/>
    <n v="0"/>
    <n v="0"/>
    <n v="4"/>
    <n v="66.66666666666667"/>
    <n v="6"/>
    <n v="1"/>
    <s v="2"/>
    <s v="2"/>
  </r>
  <r>
    <s v="pmf_qu"/>
    <s v="hnurwahid"/>
    <m/>
    <m/>
    <m/>
    <m/>
    <m/>
    <m/>
    <m/>
    <m/>
    <s v="No"/>
    <n v="268"/>
    <b v="0"/>
    <m/>
    <s v="Quote"/>
    <x v="174"/>
    <s v="SALAM  NOL  PERSEN_x000a__x000a_* 2024 TENGGELAMKAN Partai yang berpihak oligarki_x000a__x000a_#2024RakyatPunyaKuasa"/>
    <n v="0"/>
    <n v="0"/>
    <n v="0"/>
    <n v="0"/>
    <m/>
    <s v="2024rakyatpunyakuasa"/>
    <m/>
    <m/>
    <m/>
    <m/>
    <m/>
    <s v="Twitter for iPhone"/>
    <s v="in"/>
    <s v="https://twitter.com/pmf_qu/status/1483604211107774464"/>
    <d v="2022-01-19T00:56:22.000"/>
    <d v="2022-01-19T00:00:00.000"/>
    <s v="00:56:22"/>
    <m/>
    <m/>
    <m/>
    <m/>
    <m/>
    <m/>
    <m/>
    <m/>
    <m/>
    <m/>
    <m/>
    <m/>
    <m/>
    <s v="https://abs.twimg.com/sticky/default_profile_images/default_profile_normal.png"/>
    <s v="1483604211107774464"/>
    <s v="1483604211107774464"/>
    <m/>
    <s v=""/>
    <s v="1483224841969090560"/>
    <s v=""/>
    <s v="1483224841969090560"/>
    <s v="1416724448619552769"/>
    <m/>
    <m/>
    <m/>
    <m/>
    <m/>
    <n v="4"/>
    <n v="40"/>
    <n v="1"/>
    <n v="10"/>
    <n v="0"/>
    <n v="0"/>
    <n v="5"/>
    <n v="50"/>
    <n v="10"/>
    <n v="1"/>
    <s v="2"/>
    <s v="3"/>
  </r>
  <r>
    <s v="musniumar"/>
    <s v="musniumar"/>
    <m/>
    <m/>
    <m/>
    <m/>
    <m/>
    <m/>
    <m/>
    <m/>
    <s v="No"/>
    <n v="269"/>
    <b v="1"/>
    <m/>
    <s v="Tweet"/>
    <x v="175"/>
    <s v="RUU Ttg Ibu Kota Negara tlh disahkan tlh jadi UU. Saya upload kembali tulisan sy ttg pemindahan ibukota. Saya juga usul supaya ada persetujuan rakyat melalui referendum jika mau dipindah ibukota negara. Nasi sdh jadi bubur. Sdh lahir UUnya. _x000a_https://t.co/exe396VpUN"/>
    <n v="77"/>
    <n v="370"/>
    <n v="241"/>
    <n v="43"/>
    <m/>
    <m/>
    <s v="https://arahjaya.com/2019/07/26/rakyat-tidak-setuju-ibukota-negara-pindah-sosiolog-beri-solusi/"/>
    <s v="arahjaya.com"/>
    <m/>
    <m/>
    <m/>
    <s v="Twitter for Android"/>
    <s v="in"/>
    <s v="https://twitter.com/musniumar/status/1483623443170209793"/>
    <d v="2022-01-19T02:12:47.000"/>
    <d v="2022-01-19T00:00:00.000"/>
    <s v="02:12:47"/>
    <b v="0"/>
    <m/>
    <m/>
    <m/>
    <m/>
    <m/>
    <m/>
    <m/>
    <m/>
    <m/>
    <m/>
    <m/>
    <m/>
    <s v="https://pbs.twimg.com/profile_images/1149965232657162240/zduaogzZ_normal.jpg"/>
    <s v="1483623443170209793"/>
    <s v="1483623443170209793"/>
    <m/>
    <s v=""/>
    <s v=""/>
    <s v=""/>
    <s v="1483623443170209793"/>
    <n v="114697372"/>
    <m/>
    <m/>
    <m/>
    <m/>
    <m/>
    <n v="0"/>
    <n v="0"/>
    <n v="0"/>
    <n v="0"/>
    <n v="0"/>
    <n v="0"/>
    <n v="39"/>
    <n v="100"/>
    <n v="39"/>
    <n v="1"/>
    <s v="5"/>
    <s v="5"/>
  </r>
  <r>
    <s v="pmf_qu"/>
    <s v="musniumar"/>
    <m/>
    <m/>
    <m/>
    <m/>
    <m/>
    <m/>
    <m/>
    <m/>
    <s v="No"/>
    <n v="270"/>
    <b v="0"/>
    <m/>
    <s v="Quote"/>
    <x v="176"/>
    <s v="SALAM  NOL  PERSEN_x000a__x000a_2024 Pilih pemimpin yg batalkan pindah ibu kota_x000a__x000a_2024Tenggelamkan partai yg setuju pindah ibu kota karena tidak buka ruang yg cukup untuk rakyat menyetujui."/>
    <n v="0"/>
    <n v="0"/>
    <n v="0"/>
    <n v="0"/>
    <m/>
    <m/>
    <m/>
    <m/>
    <m/>
    <m/>
    <m/>
    <s v="Twitter for iPhone"/>
    <s v="in"/>
    <s v="https://twitter.com/pmf_qu/status/1483770199484829698"/>
    <d v="2022-01-19T11:55:57.000"/>
    <d v="2022-01-19T00:00:00.000"/>
    <s v="11:55:57"/>
    <m/>
    <m/>
    <m/>
    <m/>
    <m/>
    <m/>
    <m/>
    <m/>
    <m/>
    <m/>
    <m/>
    <m/>
    <m/>
    <s v="https://abs.twimg.com/sticky/default_profile_images/default_profile_normal.png"/>
    <s v="1483770199484829698"/>
    <s v="1483770199484829698"/>
    <m/>
    <s v=""/>
    <s v="1483623443170209793"/>
    <s v=""/>
    <s v="1483623443170209793"/>
    <s v="1416724448619552769"/>
    <m/>
    <m/>
    <m/>
    <m/>
    <m/>
    <n v="4"/>
    <n v="14.814814814814815"/>
    <n v="0"/>
    <n v="0"/>
    <n v="0"/>
    <n v="0"/>
    <n v="23"/>
    <n v="85.18518518518519"/>
    <n v="27"/>
    <n v="1"/>
    <s v="2"/>
    <s v="5"/>
  </r>
  <r>
    <s v="msaid_didu"/>
    <s v="msaid_didu"/>
    <m/>
    <m/>
    <m/>
    <m/>
    <m/>
    <m/>
    <m/>
    <m/>
    <s v="No"/>
    <n v="271"/>
    <b v="0"/>
    <m/>
    <s v="Tweet"/>
    <x v="177"/>
    <s v="Karena mkn kurangnya peminat Surat Utang Negara (SUN) dan dimintanya BI berhenti membeli SUN oleh IMF, smtr pemerintah msh butuh tambahan utang, maka upaya menahan uang kelolaan spt dana JHT di BPJS Ketenagakerjaan agar tdk diambil, mungkin ditujukan untuk beli SUN tsb"/>
    <n v="584"/>
    <n v="2355"/>
    <n v="203"/>
    <n v="51"/>
    <m/>
    <m/>
    <m/>
    <m/>
    <m/>
    <m/>
    <m/>
    <s v="Twitter for Android"/>
    <s v="in"/>
    <s v="https://twitter.com/msaid_didu/status/1492887391253659648"/>
    <d v="2022-02-13T15:44:25.000"/>
    <d v="2022-02-13T00:00:00.000"/>
    <s v="15:44:25"/>
    <m/>
    <m/>
    <m/>
    <m/>
    <m/>
    <m/>
    <m/>
    <m/>
    <m/>
    <m/>
    <m/>
    <m/>
    <m/>
    <s v="https://pbs.twimg.com/profile_images/1201299092376129536/YU9oL9TW_normal.jpg"/>
    <s v="1492887391253659648"/>
    <s v="1492887391253659648"/>
    <m/>
    <s v=""/>
    <s v=""/>
    <s v=""/>
    <s v="1492887391253659648"/>
    <s v="1117990249806721024"/>
    <m/>
    <m/>
    <m/>
    <m/>
    <m/>
    <n v="2"/>
    <n v="4.761904761904762"/>
    <n v="2"/>
    <n v="4.761904761904762"/>
    <n v="0"/>
    <n v="0"/>
    <n v="38"/>
    <n v="90.47619047619048"/>
    <n v="42"/>
    <n v="1"/>
    <s v="2"/>
    <s v="2"/>
  </r>
  <r>
    <s v="pmf_qu"/>
    <s v="msaid_didu"/>
    <m/>
    <m/>
    <m/>
    <m/>
    <m/>
    <m/>
    <m/>
    <m/>
    <s v="No"/>
    <n v="272"/>
    <b v="0"/>
    <m/>
    <s v="Quote"/>
    <x v="178"/>
    <s v="Cerdas &amp;amp; Cadas._x000a__x000a_Petarung sejati dari timur yg bikin lawam ciut @MSD_x000a__x000a_#SalamNOLPersen"/>
    <n v="0"/>
    <n v="0"/>
    <n v="0"/>
    <n v="0"/>
    <m/>
    <s v="salamnolpersen"/>
    <m/>
    <m/>
    <m/>
    <m/>
    <m/>
    <s v="Twitter for iPhone"/>
    <s v="in"/>
    <s v="https://twitter.com/pmf_qu/status/1493251296039632896"/>
    <d v="2022-02-14T15:50:26.000"/>
    <d v="2022-02-14T00:00:00.000"/>
    <s v="15:50:26"/>
    <m/>
    <m/>
    <m/>
    <m/>
    <m/>
    <m/>
    <m/>
    <m/>
    <m/>
    <m/>
    <m/>
    <m/>
    <m/>
    <s v="https://abs.twimg.com/sticky/default_profile_images/default_profile_normal.png"/>
    <s v="1493251296039632896"/>
    <s v="1493251296039632896"/>
    <m/>
    <s v=""/>
    <s v="1492887391253659648"/>
    <s v=""/>
    <s v="1492887391253659648"/>
    <s v="1416724448619552769"/>
    <m/>
    <m/>
    <m/>
    <m/>
    <m/>
    <n v="2"/>
    <n v="15.384615384615385"/>
    <n v="1"/>
    <n v="7.6923076923076925"/>
    <n v="0"/>
    <n v="0"/>
    <n v="10"/>
    <n v="76.92307692307692"/>
    <n v="13"/>
    <n v="8"/>
    <s v="2"/>
    <s v="2"/>
  </r>
  <r>
    <s v="cnnindonesia"/>
    <s v="cnnindonesia"/>
    <m/>
    <m/>
    <m/>
    <m/>
    <m/>
    <m/>
    <m/>
    <m/>
    <s v="No"/>
    <n v="273"/>
    <b v="0"/>
    <m/>
    <s v="Tweet"/>
    <x v="179"/>
    <s v="RI Turun Jadi Negara Penghasilan Menengah Bawah, BI Salahkan Pandemi https://t.co/WKi2emwdZd"/>
    <n v="468"/>
    <n v="1196"/>
    <n v="459"/>
    <n v="198"/>
    <m/>
    <m/>
    <s v="https://cnnindonesia.com/ekonomi/20220214160006-532-759025/ri-turun-jadi-negara-penghasilan-menengah-bawah-bi-salahkan-pandemi?utm_source=twitter&amp;utm_medium=oa&amp;utm_content=cnnindonesia&amp;utm_campaign=cmssocmed"/>
    <s v="cnnindonesia.com"/>
    <m/>
    <m/>
    <m/>
    <s v="detikcommunity"/>
    <s v="in"/>
    <s v="https://twitter.com/cnnindonesia/status/1493157267478556674"/>
    <d v="2022-02-14T09:36:48.000"/>
    <d v="2022-02-14T00:00:00.000"/>
    <s v="09:36:48"/>
    <b v="0"/>
    <m/>
    <m/>
    <m/>
    <m/>
    <m/>
    <m/>
    <m/>
    <m/>
    <m/>
    <m/>
    <m/>
    <m/>
    <s v="https://pbs.twimg.com/profile_images/669793728970682369/CaHHKPMc_normal.png"/>
    <s v="1493157267478556674"/>
    <s v="1493157267478556674"/>
    <m/>
    <s v=""/>
    <s v=""/>
    <s v=""/>
    <s v="1493157267478556674"/>
    <n v="17128975"/>
    <m/>
    <m/>
    <m/>
    <m/>
    <m/>
    <n v="0"/>
    <n v="0"/>
    <n v="1"/>
    <n v="10"/>
    <n v="0"/>
    <n v="0"/>
    <n v="9"/>
    <n v="90"/>
    <n v="10"/>
    <n v="8"/>
    <s v="2"/>
    <s v="2"/>
  </r>
  <r>
    <s v="pmf_qu"/>
    <s v="cnnindonesia"/>
    <m/>
    <m/>
    <m/>
    <m/>
    <m/>
    <m/>
    <m/>
    <m/>
    <s v="No"/>
    <n v="274"/>
    <b v="0"/>
    <m/>
    <s v="Quote"/>
    <x v="180"/>
    <s v="SALAM  NOL  PERSEN_x000a__x000a_* Setop KKN_x000a__x000a_Hanya Anies yg bisa hentikan."/>
    <n v="0"/>
    <n v="0"/>
    <n v="0"/>
    <n v="0"/>
    <m/>
    <m/>
    <m/>
    <m/>
    <m/>
    <m/>
    <m/>
    <s v="Twitter for iPhone"/>
    <s v="in"/>
    <s v="https://twitter.com/pmf_qu/status/1493254332262719492"/>
    <d v="2022-02-14T16:02:30.000"/>
    <d v="2022-02-14T00:00:00.000"/>
    <s v="16:02:30"/>
    <m/>
    <m/>
    <m/>
    <m/>
    <m/>
    <m/>
    <m/>
    <m/>
    <m/>
    <m/>
    <m/>
    <m/>
    <m/>
    <s v="https://abs.twimg.com/sticky/default_profile_images/default_profile_normal.png"/>
    <s v="1493254332262719492"/>
    <s v="1493254332262719492"/>
    <m/>
    <s v=""/>
    <s v="1493157267478556674"/>
    <s v=""/>
    <s v="1493157267478556674"/>
    <s v="1416724448619552769"/>
    <m/>
    <m/>
    <m/>
    <m/>
    <m/>
    <n v="3"/>
    <n v="30"/>
    <n v="1"/>
    <n v="10"/>
    <n v="0"/>
    <n v="0"/>
    <n v="6"/>
    <n v="60"/>
    <n v="10"/>
    <n v="1"/>
    <s v="2"/>
    <s v="2"/>
  </r>
  <r>
    <s v="mardanialisera"/>
    <s v="mardanialisera"/>
    <m/>
    <m/>
    <m/>
    <m/>
    <m/>
    <m/>
    <m/>
    <m/>
    <s v="No"/>
    <n v="275"/>
    <b v="0"/>
    <m/>
    <s v="Tweet"/>
    <x v="181"/>
    <s v="Alhamdulillah jdwl Pemilu 2024 sdh disepakati. Namun ada bbrp hal yg perlu sgr dibereskan. KPU Bawaslu hrs sgr menyelesaikan peraturan utk mensukseskan berbagai tahapan pemilu. Krn pasal 167 ayat 6 UU ttg Pemilu sdh menyatakan,tahapan pemilu paling lambat dimulai 20 bln sblm hr H"/>
    <n v="37"/>
    <n v="220"/>
    <n v="26"/>
    <n v="1"/>
    <m/>
    <m/>
    <m/>
    <m/>
    <m/>
    <m/>
    <m/>
    <s v="Twitter Web App"/>
    <s v="in"/>
    <s v="https://twitter.com/mardanialisera/status/1486544046499590145"/>
    <d v="2022-01-27T03:38:13.000"/>
    <d v="2022-01-27T00:00:00.000"/>
    <s v="03:38:13"/>
    <m/>
    <m/>
    <m/>
    <m/>
    <m/>
    <m/>
    <m/>
    <m/>
    <m/>
    <m/>
    <m/>
    <m/>
    <m/>
    <s v="https://pbs.twimg.com/profile_images/1720330836598558720/gI9Swboi_normal.jpg"/>
    <s v="1486544046499590145"/>
    <s v="1486544046499590145"/>
    <m/>
    <s v=""/>
    <s v=""/>
    <s v=""/>
    <s v="1486544046499590145"/>
    <n v="122020937"/>
    <m/>
    <m/>
    <m/>
    <m/>
    <m/>
    <n v="0"/>
    <n v="0"/>
    <n v="0"/>
    <n v="0"/>
    <n v="0"/>
    <n v="0"/>
    <n v="45"/>
    <n v="100"/>
    <n v="45"/>
    <n v="8"/>
    <s v="3"/>
    <s v="3"/>
  </r>
  <r>
    <s v="pmf_qu"/>
    <s v="mardanialisera"/>
    <m/>
    <m/>
    <m/>
    <m/>
    <m/>
    <m/>
    <m/>
    <m/>
    <s v="No"/>
    <n v="276"/>
    <b v="0"/>
    <m/>
    <s v="Quote"/>
    <x v="182"/>
    <s v="Pers Sehat &amp;amp; Waras adalah pers yg berfungsi sbg WATCH DOG bukan corong rezim kalau tidak kalian ditinggalkan rakyat._x000a__x000a_#SalamNOLPersen"/>
    <n v="0"/>
    <n v="0"/>
    <n v="0"/>
    <n v="0"/>
    <m/>
    <s v="salamnolpersen"/>
    <m/>
    <m/>
    <m/>
    <m/>
    <m/>
    <s v="Twitter for iPhone"/>
    <s v="in"/>
    <s v="https://twitter.com/pmf_qu/status/1491968962422194177"/>
    <d v="2022-02-11T02:54:54.000"/>
    <d v="2022-02-11T00:00:00.000"/>
    <s v="02:54:54"/>
    <m/>
    <m/>
    <m/>
    <m/>
    <m/>
    <m/>
    <m/>
    <m/>
    <m/>
    <m/>
    <m/>
    <m/>
    <m/>
    <s v="https://abs.twimg.com/sticky/default_profile_images/default_profile_normal.png"/>
    <s v="1491968962422194177"/>
    <s v="1491968962422194177"/>
    <m/>
    <s v=""/>
    <s v="1491301582444855297"/>
    <s v=""/>
    <s v="1491301582444855297"/>
    <s v="1416724448619552769"/>
    <m/>
    <m/>
    <m/>
    <m/>
    <m/>
    <n v="2"/>
    <n v="10"/>
    <n v="0"/>
    <n v="0"/>
    <n v="0"/>
    <n v="0"/>
    <n v="18"/>
    <n v="90"/>
    <n v="20"/>
    <n v="8"/>
    <s v="2"/>
    <s v="3"/>
  </r>
  <r>
    <s v="keuangannews_id"/>
    <s v="keuangannews_id"/>
    <m/>
    <m/>
    <m/>
    <m/>
    <m/>
    <m/>
    <m/>
    <m/>
    <s v="No"/>
    <n v="277"/>
    <b v="0"/>
    <m/>
    <s v="Tweet"/>
    <x v="183"/>
    <s v="Jokowi KKN Terang-terangan, Gibran dan Bobby Nasution Disinggung oleh Salim Said https://t.co/1eND4aFRLJ"/>
    <n v="376"/>
    <n v="1339"/>
    <n v="41"/>
    <n v="17"/>
    <m/>
    <m/>
    <s v="https://keuangannews.id/jokowi-disebut-melakukan-kkn-terang-terangan-gibran-dan-bobby-nasution-disinggung/"/>
    <s v="keuangannews.id"/>
    <m/>
    <m/>
    <m/>
    <s v="Jetpack.com"/>
    <s v="in"/>
    <s v="https://twitter.com/keuangannews_id/status/1486458245665509378"/>
    <d v="2022-01-26T21:57:17.000"/>
    <d v="2022-01-26T00:00:00.000"/>
    <s v="21:57:17"/>
    <b v="0"/>
    <m/>
    <m/>
    <m/>
    <m/>
    <m/>
    <m/>
    <m/>
    <m/>
    <m/>
    <m/>
    <m/>
    <m/>
    <s v="https://pbs.twimg.com/profile_images/1226436191215505408/du40qrKr_normal.jpg"/>
    <s v="1486458245665509378"/>
    <s v="1486458245665509378"/>
    <m/>
    <s v=""/>
    <s v=""/>
    <s v=""/>
    <s v="1486458245665509378"/>
    <s v="1226436091617505281"/>
    <m/>
    <m/>
    <m/>
    <m/>
    <m/>
    <n v="0"/>
    <n v="0"/>
    <n v="1"/>
    <n v="8.333333333333334"/>
    <n v="0"/>
    <n v="0"/>
    <n v="10"/>
    <n v="83.33333333333333"/>
    <n v="12"/>
    <n v="8"/>
    <s v="2"/>
    <s v="2"/>
  </r>
  <r>
    <s v="pmf_qu"/>
    <s v="keuangannews_id"/>
    <m/>
    <m/>
    <m/>
    <m/>
    <m/>
    <m/>
    <m/>
    <m/>
    <s v="No"/>
    <n v="278"/>
    <b v="1"/>
    <m/>
    <s v="Quote"/>
    <x v="184"/>
    <s v="KKN musuh utama Reformasi 98._x000a__x000a_Kang Ubed konsisten dan kritis._x000a__x000a_Kang Ubed bukan pengemis berbaju aktivis_x000a__x000a_Kang Ubed bukan komisaris otak berkudis_x000a__x000a_#DukungUbedilahBadrun_x000a_#SalamNolPersen_x000a_#LawanKKN"/>
    <n v="0"/>
    <n v="0"/>
    <n v="0"/>
    <n v="0"/>
    <m/>
    <s v="dukungubedilahbadrun salamnolpersen lawankkn"/>
    <m/>
    <m/>
    <m/>
    <m/>
    <m/>
    <s v="Twitter for iPhone"/>
    <s v="in"/>
    <s v="https://twitter.com/pmf_qu/status/1486879713302052866"/>
    <d v="2022-01-28T01:52:03.000"/>
    <d v="2022-01-28T00:00:00.000"/>
    <s v="01:52:03"/>
    <m/>
    <m/>
    <m/>
    <m/>
    <m/>
    <m/>
    <m/>
    <m/>
    <m/>
    <m/>
    <m/>
    <m/>
    <m/>
    <s v="https://abs.twimg.com/sticky/default_profile_images/default_profile_normal.png"/>
    <s v="1486879713302052866"/>
    <s v="1486879713302052866"/>
    <m/>
    <s v=""/>
    <s v="1486458245665509378"/>
    <s v=""/>
    <s v="1486458245665509378"/>
    <s v="1416724448619552769"/>
    <m/>
    <m/>
    <m/>
    <m/>
    <m/>
    <n v="0"/>
    <n v="0"/>
    <n v="1"/>
    <n v="4"/>
    <n v="0"/>
    <n v="0"/>
    <n v="24"/>
    <n v="96"/>
    <n v="25"/>
    <n v="1"/>
    <s v="2"/>
    <s v="2"/>
  </r>
  <r>
    <s v="geiszchalifah"/>
    <s v="geiszchalifah"/>
    <m/>
    <m/>
    <m/>
    <m/>
    <m/>
    <m/>
    <m/>
    <m/>
    <s v="No"/>
    <n v="279"/>
    <b v="1"/>
    <m/>
    <s v="Tweet"/>
    <x v="185"/>
    <s v="Gue ga percaya dgn lembaga survey terlebih yg jelas2 suka NIPU. _x000a_Skrg mrk menangkan Anies di Jabar, tak lama lagi mrk akan keluarkan hasil survey di-daerah2 lain. Ujungnya mrk akan katakan elektabilitas Anies jeblok._x000a_Jgn percaya dgn kang Survey abal2.  _x000a__x000a_https://t.co/V223RLyoHY"/>
    <n v="158"/>
    <n v="768"/>
    <n v="38"/>
    <n v="6"/>
    <m/>
    <m/>
    <s v="https://youtu.be/X5TlArCX_Mo"/>
    <s v="youtu.be"/>
    <m/>
    <m/>
    <m/>
    <s v="Twitter for Android"/>
    <s v="in"/>
    <s v="https://twitter.com/geiszchalifah/status/1494966646879899651"/>
    <d v="2022-02-19T09:26:38.000"/>
    <d v="2022-02-19T00:00:00.000"/>
    <s v="09:26:38"/>
    <b v="0"/>
    <m/>
    <m/>
    <m/>
    <m/>
    <m/>
    <m/>
    <m/>
    <m/>
    <m/>
    <m/>
    <m/>
    <m/>
    <s v="https://pbs.twimg.com/profile_images/1430381487078055943/WK_pywoN_normal.jpg"/>
    <s v="1494966646879899651"/>
    <s v="1494966646879899651"/>
    <m/>
    <s v=""/>
    <s v=""/>
    <s v=""/>
    <s v="1494966646879899651"/>
    <s v="1297510664148103168"/>
    <m/>
    <m/>
    <m/>
    <m/>
    <m/>
    <n v="2"/>
    <n v="4.878048780487805"/>
    <n v="0"/>
    <n v="0"/>
    <n v="0"/>
    <n v="0"/>
    <n v="39"/>
    <n v="95.1219512195122"/>
    <n v="41"/>
    <n v="1"/>
    <s v="2"/>
    <s v="2"/>
  </r>
  <r>
    <s v="pmf_qu"/>
    <s v="geiszchalifah"/>
    <m/>
    <m/>
    <m/>
    <m/>
    <m/>
    <m/>
    <m/>
    <m/>
    <s v="No"/>
    <n v="280"/>
    <b v="0"/>
    <m/>
    <s v="Quote"/>
    <x v="186"/>
    <s v="SETUJA_x000a__x000a_SALAM NOL PERSEN_x000a__x000a_Jangan percaya pedagang survey , jauh dari adab &amp;amp; etika inTELEKtual._x000a__x000a_Lihat hasil karta nyata dan respon rakyat."/>
    <n v="0"/>
    <n v="0"/>
    <n v="0"/>
    <n v="0"/>
    <m/>
    <m/>
    <m/>
    <m/>
    <m/>
    <m/>
    <m/>
    <s v="Twitter for iPhone"/>
    <s v="in"/>
    <s v="https://twitter.com/pmf_qu/status/1495333199509016578"/>
    <d v="2022-02-20T09:43:11.000"/>
    <d v="2022-02-20T00:00:00.000"/>
    <s v="09:43:11"/>
    <m/>
    <m/>
    <m/>
    <m/>
    <m/>
    <m/>
    <m/>
    <m/>
    <m/>
    <m/>
    <m/>
    <m/>
    <m/>
    <s v="https://abs.twimg.com/sticky/default_profile_images/default_profile_normal.png"/>
    <s v="1495333199509016578"/>
    <s v="1495333199509016578"/>
    <m/>
    <s v=""/>
    <s v="1494966646879899651"/>
    <s v=""/>
    <s v="1494966646879899651"/>
    <s v="1416724448619552769"/>
    <m/>
    <m/>
    <m/>
    <m/>
    <m/>
    <n v="6"/>
    <n v="28.571428571428573"/>
    <n v="1"/>
    <n v="4.761904761904762"/>
    <n v="0"/>
    <n v="0"/>
    <n v="14"/>
    <n v="66.66666666666667"/>
    <n v="21"/>
    <n v="1"/>
    <s v="2"/>
    <s v="2"/>
  </r>
  <r>
    <s v="geloraco"/>
    <s v="geloraco"/>
    <m/>
    <m/>
    <m/>
    <m/>
    <m/>
    <m/>
    <m/>
    <m/>
    <s v="No"/>
    <n v="281"/>
    <b v="0"/>
    <m/>
    <s v="Tweet"/>
    <x v="187"/>
    <s v="Anggota DPR Desak Kemenhub Usut Tuntas Kasus Pemindahan Paksa Pesawat Susi Air di Bandara Malinau_x000a_https://t.co/vKYsZlSUbE"/>
    <n v="111"/>
    <n v="461"/>
    <n v="19"/>
    <n v="7"/>
    <m/>
    <m/>
    <s v="http://www.gelora.co/2022/02/anggota-dpr-desak-kemenhub-usut-tuntas.html"/>
    <s v="gelora.co"/>
    <m/>
    <m/>
    <m/>
    <s v="Twitter for Android"/>
    <s v="in"/>
    <s v="https://twitter.com/geloraco/status/1489529343517020160"/>
    <d v="2022-02-04T09:20:44.000"/>
    <d v="2022-02-04T00:00:00.000"/>
    <s v="09:20:44"/>
    <b v="0"/>
    <m/>
    <m/>
    <m/>
    <m/>
    <m/>
    <m/>
    <m/>
    <m/>
    <m/>
    <m/>
    <m/>
    <m/>
    <s v="https://pbs.twimg.com/profile_images/1354095189636210690/SbdpXIAi_normal.jpg"/>
    <s v="1489529343517020160"/>
    <s v="1489529343517020160"/>
    <m/>
    <s v=""/>
    <s v=""/>
    <s v=""/>
    <s v="1489529343517020160"/>
    <n v="3319260420"/>
    <m/>
    <m/>
    <m/>
    <m/>
    <m/>
    <n v="0"/>
    <n v="0"/>
    <n v="0"/>
    <n v="0"/>
    <n v="0"/>
    <n v="0"/>
    <n v="15"/>
    <n v="100"/>
    <n v="15"/>
    <n v="27"/>
    <s v="5"/>
    <s v="5"/>
  </r>
  <r>
    <s v="pmf_qu"/>
    <s v="geloraco"/>
    <m/>
    <m/>
    <m/>
    <m/>
    <m/>
    <m/>
    <m/>
    <m/>
    <s v="No"/>
    <n v="282"/>
    <b v="0"/>
    <m/>
    <s v="Quote"/>
    <x v="188"/>
    <s v="SALAM  NOL  PERSEN_x000a__x000a_Sudah saatnya DPD setara dg DPR , karena DPR sudah jadi wakil ketua partai._x000a__x000a_Negara TETAP ADA tanpa ADA PARTAI,_x000a_Negara BUBAR tanpa ada DAERAH._x000a__x000a_LEBIH PENTING DAERAH DARI PADA PARTAI._x000a__x000a_#SaveDPD"/>
    <n v="0"/>
    <n v="0"/>
    <n v="0"/>
    <n v="0"/>
    <m/>
    <s v="savedpd"/>
    <m/>
    <m/>
    <m/>
    <m/>
    <m/>
    <s v="Twitter for iPhone"/>
    <s v="in"/>
    <s v="https://twitter.com/pmf_qu/status/1494690623349149697"/>
    <d v="2022-02-18T15:09:49.000"/>
    <d v="2022-02-18T00:00:00.000"/>
    <s v="15:09:49"/>
    <m/>
    <m/>
    <m/>
    <m/>
    <m/>
    <m/>
    <m/>
    <m/>
    <m/>
    <m/>
    <m/>
    <m/>
    <m/>
    <s v="https://abs.twimg.com/sticky/default_profile_images/default_profile_normal.png"/>
    <s v="1494690623349149697"/>
    <s v="1494690623349149697"/>
    <m/>
    <s v=""/>
    <s v="1494648861591506949"/>
    <s v=""/>
    <s v="1494648861591506949"/>
    <s v="1416724448619552769"/>
    <m/>
    <m/>
    <m/>
    <m/>
    <m/>
    <n v="4"/>
    <n v="11.764705882352942"/>
    <n v="1"/>
    <n v="2.9411764705882355"/>
    <n v="0"/>
    <n v="0"/>
    <n v="29"/>
    <n v="85.29411764705883"/>
    <n v="34"/>
    <n v="27"/>
    <s v="2"/>
    <s v="5"/>
  </r>
  <r>
    <s v="nenkmonica"/>
    <s v="nenkmonica"/>
    <m/>
    <m/>
    <m/>
    <m/>
    <m/>
    <m/>
    <m/>
    <m/>
    <s v="No"/>
    <n v="283"/>
    <b v="0"/>
    <m/>
    <s v="Tweet"/>
    <x v="189"/>
    <s v="Mahasiswa Duduk yg Manis atau Tiduran saja biar kami emak² yg turun ke jalan ! https://t.co/hUvLW2vE2O"/>
    <n v="541"/>
    <n v="1565"/>
    <n v="16"/>
    <n v="41"/>
    <m/>
    <m/>
    <m/>
    <m/>
    <m/>
    <s v="https://t.co/hUvLW2vE2O https://pbs.twimg.com/ext_tw_video_thumb/1481511622984466432/pu/img/S3OCEWZDY1pkqGYa.jpg"/>
    <s v="video"/>
    <s v="Twitter for Android"/>
    <s v="in"/>
    <s v="https://twitter.com/nenkmonica/status/1481511735458959360"/>
    <d v="2022-01-13T06:21:37.000"/>
    <d v="2022-01-13T00:00:00.000"/>
    <s v="06:21:37"/>
    <b v="0"/>
    <m/>
    <m/>
    <m/>
    <m/>
    <m/>
    <m/>
    <m/>
    <s v="7_1481511622984466432"/>
    <n v="43449"/>
    <m/>
    <m/>
    <m/>
    <s v="https://pbs.twimg.com/ext_tw_video_thumb/1481511622984466432/pu/img/S3OCEWZDY1pkqGYa.jpg"/>
    <s v="1481511735458959360"/>
    <s v="1481511735458959360"/>
    <m/>
    <s v=""/>
    <s v=""/>
    <s v=""/>
    <s v="1481511735458959360"/>
    <s v="1040306964100669440"/>
    <m/>
    <m/>
    <m/>
    <m/>
    <m/>
    <n v="0"/>
    <n v="0"/>
    <n v="2"/>
    <n v="14.285714285714286"/>
    <n v="0"/>
    <n v="0"/>
    <n v="12"/>
    <n v="85.71428571428571"/>
    <n v="14"/>
    <n v="1"/>
    <s v="2"/>
    <s v="2"/>
  </r>
  <r>
    <s v="pmf_qu"/>
    <s v="nenkmonica"/>
    <m/>
    <m/>
    <m/>
    <m/>
    <m/>
    <m/>
    <m/>
    <m/>
    <s v="No"/>
    <n v="284"/>
    <b v="1"/>
    <m/>
    <s v="Quote"/>
    <x v="190"/>
    <s v="Aduh....._x000a_Main game jg boleh._x000a__x000a_Dulu ada yg ngirim CD &amp;amp; Bra._x000a__x000a_#SalamNolPersen"/>
    <n v="0"/>
    <n v="0"/>
    <n v="0"/>
    <n v="0"/>
    <m/>
    <s v="salamnolpersen"/>
    <m/>
    <m/>
    <m/>
    <m/>
    <m/>
    <s v="Twitter for iPhone"/>
    <s v="in"/>
    <s v="https://twitter.com/pmf_qu/status/1481652804226002944"/>
    <d v="2022-01-13T15:42:10.000"/>
    <d v="2022-01-13T00:00:00.000"/>
    <s v="15:42:10"/>
    <m/>
    <m/>
    <m/>
    <m/>
    <m/>
    <m/>
    <m/>
    <m/>
    <m/>
    <m/>
    <m/>
    <m/>
    <m/>
    <s v="https://abs.twimg.com/sticky/default_profile_images/default_profile_normal.png"/>
    <s v="1481652804226002944"/>
    <s v="1481652804226002944"/>
    <m/>
    <s v=""/>
    <s v="1481511735458959360"/>
    <s v=""/>
    <s v="1481511735458959360"/>
    <s v="1416724448619552769"/>
    <m/>
    <m/>
    <m/>
    <m/>
    <m/>
    <n v="1"/>
    <n v="7.6923076923076925"/>
    <n v="0"/>
    <n v="0"/>
    <n v="0"/>
    <n v="0"/>
    <n v="12"/>
    <n v="92.3076923076923"/>
    <n v="13"/>
    <n v="1"/>
    <s v="2"/>
    <s v="2"/>
  </r>
  <r>
    <s v="fahiraidris"/>
    <s v="fahiraidris"/>
    <m/>
    <m/>
    <m/>
    <m/>
    <m/>
    <m/>
    <m/>
    <m/>
    <s v="No"/>
    <n v="285"/>
    <b v="0"/>
    <m/>
    <s v="Tweet"/>
    <x v="191"/>
    <s v="1. Senin 27 Des 2021, Tiga orang Anggota DPD RI yaitu Tamsil Linrung, Fahira Idris &amp;amp; Edwin Pratama Putra mengajukan gugatan judicial review ke Mahkamah Konstitusi, terkait dg presidential threshold pencalonan presiden 20% yg tertuang di dlm UU Pemilu Nomor 7 Tahun 2017. _x000a_A THREAD https://t.co/H5l3SsRoV5"/>
    <n v="860"/>
    <n v="3508"/>
    <n v="253"/>
    <n v="77"/>
    <m/>
    <m/>
    <m/>
    <m/>
    <m/>
    <s v="https://t.co/H5l3SsRoV5 https://pbs.twimg.com/media/FHrKTyoVkAEIx8M.jpg"/>
    <s v="photo"/>
    <s v="Twitter for Android"/>
    <s v="in"/>
    <s v="https://twitter.com/fahiraidris/status/1475714275498860545"/>
    <d v="2021-12-28T06:24:35.000"/>
    <d v="2021-12-28T00:00:00.000"/>
    <s v="06:24:35"/>
    <b v="0"/>
    <m/>
    <m/>
    <m/>
    <m/>
    <m/>
    <m/>
    <m/>
    <s v="3_1475714269274542081"/>
    <m/>
    <m/>
    <m/>
    <m/>
    <s v="https://pbs.twimg.com/media/FHrKTyoVkAEIx8M.jpg"/>
    <s v="1475714275498860545"/>
    <s v="1475714275498860545"/>
    <m/>
    <s v=""/>
    <s v=""/>
    <s v=""/>
    <s v="1475714275498860545"/>
    <n v="68304724"/>
    <m/>
    <m/>
    <m/>
    <m/>
    <m/>
    <n v="0"/>
    <n v="0"/>
    <n v="1"/>
    <n v="2.2222222222222223"/>
    <n v="0"/>
    <n v="0"/>
    <n v="43"/>
    <n v="95.55555555555556"/>
    <n v="45"/>
    <n v="64"/>
    <s v="5"/>
    <s v="5"/>
  </r>
  <r>
    <s v="pmf_qu"/>
    <s v="fahiraidris"/>
    <m/>
    <m/>
    <m/>
    <m/>
    <m/>
    <m/>
    <m/>
    <m/>
    <s v="No"/>
    <n v="286"/>
    <b v="0"/>
    <m/>
    <s v="Quote"/>
    <x v="192"/>
    <s v="Terimakasih ibu FI yg selalu membela kepentingan rakyat._x000a__x000a_* Salam PCR Gate_x000a_* Salam NOL PERSEN"/>
    <n v="0"/>
    <n v="0"/>
    <n v="0"/>
    <n v="0"/>
    <m/>
    <m/>
    <m/>
    <m/>
    <m/>
    <m/>
    <m/>
    <s v="Twitter for iPhone"/>
    <s v="in"/>
    <s v="https://twitter.com/pmf_qu/status/1494345925312929793"/>
    <d v="2022-02-17T16:20:06.000"/>
    <d v="2022-02-17T00:00:00.000"/>
    <s v="16:20:06"/>
    <m/>
    <m/>
    <m/>
    <m/>
    <m/>
    <m/>
    <m/>
    <m/>
    <m/>
    <m/>
    <m/>
    <m/>
    <m/>
    <s v="https://abs.twimg.com/sticky/default_profile_images/default_profile_normal.png"/>
    <s v="1494345925312929793"/>
    <s v="1494345925312929793"/>
    <m/>
    <s v=""/>
    <s v="1494302187924893698"/>
    <s v=""/>
    <s v="1494302187924893698"/>
    <s v="1416724448619552769"/>
    <m/>
    <m/>
    <m/>
    <m/>
    <m/>
    <n v="5"/>
    <n v="35.714285714285715"/>
    <n v="0"/>
    <n v="0"/>
    <n v="0"/>
    <n v="0"/>
    <n v="9"/>
    <n v="64.28571428571429"/>
    <n v="14"/>
    <n v="1"/>
    <s v="2"/>
    <s v="5"/>
  </r>
  <r>
    <s v="raka_shiwie"/>
    <s v="raka_shiwie"/>
    <m/>
    <m/>
    <m/>
    <m/>
    <m/>
    <m/>
    <m/>
    <m/>
    <s v="No"/>
    <n v="287"/>
    <b v="1"/>
    <m/>
    <s v="Tweet"/>
    <x v="193"/>
    <s v="Mengapa kita harus terus berisik?_x000a_Karena yang seharusnya bersuara; DPR, Intelektual Kampus, Mahasiswa semuanya pada DIAM https://t.co/t7RfBOMU1v"/>
    <n v="326"/>
    <n v="1102"/>
    <n v="8"/>
    <n v="10"/>
    <m/>
    <m/>
    <m/>
    <m/>
    <m/>
    <s v="https://t.co/t7RfBOMU1v https://pbs.twimg.com/media/FK-MEBeaAAEOjd2.jpg"/>
    <s v="photo"/>
    <s v="Twitter for Android"/>
    <s v="in"/>
    <s v="https://twitter.com/raka_shiwie/status/1490564008541569024"/>
    <d v="2022-02-07T05:52:07.000"/>
    <d v="2022-02-07T00:00:00.000"/>
    <s v="05:52:07"/>
    <b v="0"/>
    <m/>
    <m/>
    <m/>
    <m/>
    <m/>
    <m/>
    <m/>
    <s v="3_1490564002426257409"/>
    <m/>
    <m/>
    <m/>
    <m/>
    <s v="https://pbs.twimg.com/media/FK-MEBeaAAEOjd2.jpg"/>
    <s v="1490564008541569024"/>
    <s v="1490564008541569024"/>
    <m/>
    <s v=""/>
    <s v=""/>
    <s v=""/>
    <s v="1490564008541569024"/>
    <s v="1268015036213030912"/>
    <m/>
    <m/>
    <m/>
    <m/>
    <m/>
    <n v="2"/>
    <n v="12.5"/>
    <n v="0"/>
    <n v="0"/>
    <n v="0"/>
    <n v="0"/>
    <n v="14"/>
    <n v="87.5"/>
    <n v="16"/>
    <n v="1"/>
    <s v="2"/>
    <s v="2"/>
  </r>
  <r>
    <s v="pmf_qu"/>
    <s v="raka_shiwie"/>
    <m/>
    <m/>
    <m/>
    <m/>
    <m/>
    <m/>
    <m/>
    <m/>
    <s v="No"/>
    <n v="288"/>
    <b v="1"/>
    <m/>
    <s v="Quote"/>
    <x v="194"/>
    <s v="Cadas petarung dari timur yg bikin lawan ciut._x000a__x000a_Tetap semangat dan selalu dalam lindungan &amp;amp; tuntunan Allah SWT_x000a__x000a_#SalamNOLPersen"/>
    <n v="0"/>
    <n v="1"/>
    <n v="1"/>
    <n v="0"/>
    <m/>
    <s v="salamnolpersen"/>
    <m/>
    <m/>
    <m/>
    <m/>
    <m/>
    <s v="Twitter for iPhone"/>
    <s v="in"/>
    <s v="https://twitter.com/pmf_qu/status/1490937298279485443"/>
    <d v="2022-02-08T06:35:26.000"/>
    <d v="2022-02-08T00:00:00.000"/>
    <s v="06:35:26"/>
    <m/>
    <m/>
    <m/>
    <m/>
    <m/>
    <m/>
    <m/>
    <m/>
    <m/>
    <m/>
    <m/>
    <m/>
    <m/>
    <s v="https://abs.twimg.com/sticky/default_profile_images/default_profile_normal.png"/>
    <s v="1490937298279485443"/>
    <s v="1490937298279485443"/>
    <m/>
    <s v=""/>
    <s v="1490564008541569024"/>
    <s v=""/>
    <s v="1490564008541569024"/>
    <s v="1416724448619552769"/>
    <m/>
    <m/>
    <m/>
    <m/>
    <m/>
    <n v="1"/>
    <n v="5.2631578947368425"/>
    <n v="1"/>
    <n v="5.2631578947368425"/>
    <n v="0"/>
    <n v="0"/>
    <n v="17"/>
    <n v="89.47368421052632"/>
    <n v="19"/>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58"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74"/>
    <field x="73"/>
    <field x="15"/>
  </rowFields>
  <rowItems count="133">
    <i>
      <x v="1"/>
    </i>
    <i r="1">
      <x v="12"/>
    </i>
    <i r="2">
      <x v="342"/>
    </i>
    <i r="2">
      <x v="343"/>
    </i>
    <i r="2">
      <x v="344"/>
    </i>
    <i r="2">
      <x v="345"/>
    </i>
    <i r="2">
      <x v="347"/>
    </i>
    <i r="2">
      <x v="348"/>
    </i>
    <i r="2">
      <x v="349"/>
    </i>
    <i r="2">
      <x v="350"/>
    </i>
    <i r="2">
      <x v="352"/>
    </i>
    <i r="2">
      <x v="355"/>
    </i>
    <i r="2">
      <x v="358"/>
    </i>
    <i r="2">
      <x v="360"/>
    </i>
    <i r="2">
      <x v="361"/>
    </i>
    <i r="2">
      <x v="363"/>
    </i>
    <i r="2">
      <x v="364"/>
    </i>
    <i r="2">
      <x v="365"/>
    </i>
    <i>
      <x v="2"/>
    </i>
    <i r="1">
      <x v="1"/>
    </i>
    <i r="2">
      <x v="1"/>
    </i>
    <i r="2">
      <x v="2"/>
    </i>
    <i r="2">
      <x v="3"/>
    </i>
    <i r="2">
      <x v="4"/>
    </i>
    <i r="2">
      <x v="5"/>
    </i>
    <i r="2">
      <x v="7"/>
    </i>
    <i r="2">
      <x v="8"/>
    </i>
    <i r="2">
      <x v="9"/>
    </i>
    <i r="2">
      <x v="10"/>
    </i>
    <i r="2">
      <x v="11"/>
    </i>
    <i r="2">
      <x v="12"/>
    </i>
    <i r="2">
      <x v="13"/>
    </i>
    <i r="2">
      <x v="14"/>
    </i>
    <i r="2">
      <x v="16"/>
    </i>
    <i r="2">
      <x v="17"/>
    </i>
    <i r="2">
      <x v="18"/>
    </i>
    <i r="2">
      <x v="19"/>
    </i>
    <i r="2">
      <x v="20"/>
    </i>
    <i r="2">
      <x v="25"/>
    </i>
    <i r="2">
      <x v="26"/>
    </i>
    <i r="2">
      <x v="27"/>
    </i>
    <i r="2">
      <x v="28"/>
    </i>
    <i r="2">
      <x v="30"/>
    </i>
    <i r="2">
      <x v="31"/>
    </i>
    <i r="1">
      <x v="2"/>
    </i>
    <i r="2">
      <x v="32"/>
    </i>
    <i r="2">
      <x v="34"/>
    </i>
    <i r="2">
      <x v="35"/>
    </i>
    <i r="2">
      <x v="36"/>
    </i>
    <i r="2">
      <x v="37"/>
    </i>
    <i r="2">
      <x v="38"/>
    </i>
    <i r="2">
      <x v="39"/>
    </i>
    <i r="2">
      <x v="42"/>
    </i>
    <i r="2">
      <x v="44"/>
    </i>
    <i r="2">
      <x v="45"/>
    </i>
    <i r="2">
      <x v="48"/>
    </i>
    <i r="2">
      <x v="49"/>
    </i>
    <i r="2">
      <x v="50"/>
    </i>
    <i r="2">
      <x v="51"/>
    </i>
    <i r="2">
      <x v="54"/>
    </i>
    <i r="1">
      <x v="3"/>
    </i>
    <i r="2">
      <x v="72"/>
    </i>
    <i r="2">
      <x v="81"/>
    </i>
    <i r="2">
      <x v="85"/>
    </i>
    <i r="2">
      <x v="87"/>
    </i>
    <i r="1">
      <x v="4"/>
    </i>
    <i r="2">
      <x v="109"/>
    </i>
    <i r="2">
      <x v="119"/>
    </i>
    <i r="1">
      <x v="5"/>
    </i>
    <i r="2">
      <x v="138"/>
    </i>
    <i r="2">
      <x v="144"/>
    </i>
    <i r="2">
      <x v="148"/>
    </i>
    <i r="1">
      <x v="6"/>
    </i>
    <i r="2">
      <x v="157"/>
    </i>
    <i r="2">
      <x v="160"/>
    </i>
    <i r="2">
      <x v="169"/>
    </i>
    <i r="2">
      <x v="172"/>
    </i>
    <i r="2">
      <x v="175"/>
    </i>
    <i r="1">
      <x v="7"/>
    </i>
    <i r="2">
      <x v="184"/>
    </i>
    <i r="2">
      <x v="195"/>
    </i>
    <i r="2">
      <x v="196"/>
    </i>
    <i r="2">
      <x v="197"/>
    </i>
    <i r="2">
      <x v="204"/>
    </i>
    <i r="2">
      <x v="208"/>
    </i>
    <i r="2">
      <x v="212"/>
    </i>
    <i r="1">
      <x v="8"/>
    </i>
    <i r="2">
      <x v="216"/>
    </i>
    <i r="2">
      <x v="217"/>
    </i>
    <i r="2">
      <x v="219"/>
    </i>
    <i r="2">
      <x v="228"/>
    </i>
    <i r="2">
      <x v="233"/>
    </i>
    <i r="1">
      <x v="9"/>
    </i>
    <i r="2">
      <x v="248"/>
    </i>
    <i r="2">
      <x v="251"/>
    </i>
    <i r="2">
      <x v="262"/>
    </i>
    <i r="2">
      <x v="272"/>
    </i>
    <i r="2">
      <x v="273"/>
    </i>
    <i r="1">
      <x v="10"/>
    </i>
    <i r="2">
      <x v="280"/>
    </i>
    <i r="2">
      <x v="283"/>
    </i>
    <i r="2">
      <x v="290"/>
    </i>
    <i r="2">
      <x v="299"/>
    </i>
    <i r="1">
      <x v="11"/>
    </i>
    <i r="2">
      <x v="311"/>
    </i>
    <i r="2">
      <x v="321"/>
    </i>
    <i r="2">
      <x v="322"/>
    </i>
    <i r="2">
      <x v="330"/>
    </i>
    <i r="2">
      <x v="334"/>
    </i>
    <i r="1">
      <x v="12"/>
    </i>
    <i r="2">
      <x v="343"/>
    </i>
    <i r="2">
      <x v="351"/>
    </i>
    <i r="2">
      <x v="355"/>
    </i>
    <i r="2">
      <x v="358"/>
    </i>
    <i r="2">
      <x v="361"/>
    </i>
    <i>
      <x v="3"/>
    </i>
    <i r="1">
      <x v="1"/>
    </i>
    <i r="2">
      <x v="4"/>
    </i>
    <i r="1">
      <x v="2"/>
    </i>
    <i r="2">
      <x v="46"/>
    </i>
    <i r="1">
      <x v="3"/>
    </i>
    <i r="2">
      <x v="70"/>
    </i>
    <i r="1">
      <x v="4"/>
    </i>
    <i r="2">
      <x v="94"/>
    </i>
    <i r="2">
      <x v="101"/>
    </i>
    <i r="1">
      <x v="6"/>
    </i>
    <i r="2">
      <x v="162"/>
    </i>
    <i r="1">
      <x v="8"/>
    </i>
    <i r="2">
      <x v="222"/>
    </i>
    <i r="2">
      <x v="234"/>
    </i>
    <i r="1">
      <x v="9"/>
    </i>
    <i r="2">
      <x v="262"/>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U288" totalsRowShown="0" headerRowDxfId="533" dataDxfId="532">
  <autoFilter ref="A2:BU288"/>
  <tableColumns count="73">
    <tableColumn id="1" name="Vertex 1" dataDxfId="531"/>
    <tableColumn id="2" name="Vertex 2" dataDxfId="530"/>
    <tableColumn id="3" name="Color" dataDxfId="529"/>
    <tableColumn id="4" name="Width" dataDxfId="528"/>
    <tableColumn id="11" name="Style" dataDxfId="527"/>
    <tableColumn id="5" name="Opacity" dataDxfId="526"/>
    <tableColumn id="6" name="Visibility" dataDxfId="525"/>
    <tableColumn id="10" name="Label" dataDxfId="524"/>
    <tableColumn id="12" name="Label Text Color" dataDxfId="523"/>
    <tableColumn id="13" name="Label Font Size" dataDxfId="522"/>
    <tableColumn id="14" name="Reciprocated?" dataDxfId="249"/>
    <tableColumn id="7" name="ID" dataDxfId="521"/>
    <tableColumn id="9" name="Dynamic Filter" dataDxfId="520">
      <calculatedColumnFormula> IF(AND(OR(NOT(ISNUMBER(Edges[[#This Row],[Relationship Date (UTC)]])), Edges[[#This Row],[Relationship Date (UTC)]] &gt;= Misc!$O$2), OR(NOT(ISNUMBER(Edges[[#This Row],[Relationship Date (UTC)]])), Edges[[#This Row],[Relationship Date (UTC)]] &lt;= Misc!$P$2),OR(NOT(ISNUMBER(Edges[[#This Row],[Retweet Count]])), Edges[[#This Row],[Retweet Count]] &gt;= Misc!$O$3), OR(NOT(ISNUMBER(Edges[[#This Row],[Retweet Count]])), Edges[[#This Row],[Retweet Count]] &lt;= Misc!$P$3),OR(NOT(ISNUMBER(Edges[[#This Row],[Favorite Count]])), Edges[[#This Row],[Favorite Count]] &gt;= Misc!$O$4), OR(NOT(ISNUMBER(Edges[[#This Row],[Favorite Count]])), Edges[[#This Row],[Favorite Count]] &lt;= Misc!$P$4),OR(NOT(ISNUMBER(Edges[[#This Row],[Reply Count]])), Edges[[#This Row],[Reply Count]] &gt;= Misc!$O$5), OR(NOT(ISNUMBER(Edges[[#This Row],[Reply Count]])), Edges[[#This Row],[Reply Count]] &lt;= Misc!$P$5),OR(NOT(ISNUMBER(Edges[[#This Row],[Quote Count]])), Edges[[#This Row],[Quote Count]] &gt;= Misc!$O$6), OR(NOT(ISNUMBER(Edges[[#This Row],[Quote Count]])), Edges[[#This Row],[Quote Count]] &lt;= Misc!$P$6),OR(NOT(ISNUMBER(Edges[[#This Row],[Tweet Date (UTC)]])), Edges[[#This Row],[Tweet Date (UTC)]] &gt;= Misc!$O$7), OR(NOT(ISNUMBER(Edges[[#This Row],[Tweet Date (UTC)]])), Edges[[#This Row],[Tweet Date (UTC)]] &lt;= Misc!$P$7),OR(NOT(ISNUMBER(Edges[[#This Row],[Date]])), Edges[[#This Row],[Date]] &gt;= Misc!$O$8), OR(NOT(ISNUMBER(Edges[[#This Row],[Date]])), Edges[[#This Row],[Date]] &lt;= Misc!$P$8),OR(NOT(ISNUMBER(Edges[[#This Row],[Sentiment List '#1: List1 Word Count]])), Edges[[#This Row],[Sentiment List '#1: List1 Word Count]] &gt;= Misc!$O$9), OR(NOT(ISNUMBER(Edges[[#This Row],[Sentiment List '#1: List1 Word Count]])), Edges[[#This Row],[Sentiment List '#1: List1 Word Count]] &lt;= Misc!$P$9),OR(NOT(ISNUMBER(Edges[[#This Row],[Sentiment List '#1: List1 Word Percentage (%)]])), Edges[[#This Row],[Sentiment List '#1: List1 Word Percentage (%)]] &gt;= Misc!$O$10), OR(NOT(ISNUMBER(Edges[[#This Row],[Sentiment List '#1: List1 Word Percentage (%)]])), Edges[[#This Row],[Sentiment List '#1: List1 Word Percentage (%)]] &lt;= Misc!$P$10),OR(NOT(ISNUMBER(Edges[[#This Row],[Sentiment List '#2: List2 Word Count]])), Edges[[#This Row],[Sentiment List '#2: List2 Word Count]] &gt;= Misc!$O$11), OR(NOT(ISNUMBER(Edges[[#This Row],[Sentiment List '#2: List2 Word Count]])), Edges[[#This Row],[Sentiment List '#2: List2 Word Count]] &lt;= Misc!$P$11),OR(NOT(ISNUMBER(Edges[[#This Row],[Sentiment List '#2: List2 Word Percentage (%)]])), Edges[[#This Row],[Sentiment List '#2: List2 Word Percentage (%)]] &gt;= Misc!$O$12), OR(NOT(ISNUMBER(Edges[[#This Row],[Sentiment List '#2: List2 Word Percentage (%)]])), Edges[[#This Row],[Sentiment List '#2: List2 Word Percentage (%)]] &lt;= Misc!$P$12),OR(NOT(ISNUMBER(Edges[[#This Row],[Non-categorized Word Count]])), Edges[[#This Row],[Non-categorized Word Count]] &gt;= Misc!$O$13), OR(NOT(ISNUMBER(Edges[[#This Row],[Non-categorized Word Count]])), Edges[[#This Row],[Non-categorized Word Count]] &lt;= Misc!$P$13),OR(NOT(ISNUMBER(Edges[[#This Row],[Non-categorized Word Percentage (%)]])), Edges[[#This Row],[Non-categorized Word Percentage (%)]] &gt;= Misc!$O$14), OR(NOT(ISNUMBER(Edges[[#This Row],[Non-categorized Word Percentage (%)]])), Edges[[#This Row],[Non-categorized Word Percentage (%)]] &lt;= Misc!$P$14),OR(NOT(ISNUMBER(Edges[[#This Row],[Edge Content Word Count]])), Edges[[#This Row],[Edge Content Word Count]] &gt;= Misc!$O$15), OR(NOT(ISNUMBER(Edges[[#This Row],[Edge Content Word Count]])), Edges[[#This Row],[Edge Content Word Count]] &lt;= Misc!$P$15),OR(NOT(ISNUMBER(Edges[[#This Row],[Edge Weight]])), Edges[[#This Row],[Edge Weight]] &gt;= Misc!$O$42), OR(NOT(ISNUMBER(Edges[[#This Row],[Edge Weight]])), Edges[[#This Row],[Edge Weight]] &lt;= Misc!$P$42),TRUE), TRUE, FALSE)</calculatedColumnFormula>
    </tableColumn>
    <tableColumn id="8" name="Add Your Own Columns Here" dataDxfId="519"/>
    <tableColumn id="15" name="Relationship" dataDxfId="518"/>
    <tableColumn id="16" name="Relationship Date (UTC)" dataDxfId="517"/>
    <tableColumn id="17" name="Tweet" dataDxfId="516"/>
    <tableColumn id="18" name="Retweet Count" dataDxfId="515"/>
    <tableColumn id="19" name="Favorite Count" dataDxfId="514"/>
    <tableColumn id="20" name="Reply Count" dataDxfId="513"/>
    <tableColumn id="21" name="Quote Count" dataDxfId="512"/>
    <tableColumn id="22" name="Impression Count" dataDxfId="511"/>
    <tableColumn id="23" name="Hashtags in Tweet" dataDxfId="510"/>
    <tableColumn id="24" name="URLs in Tweet" dataDxfId="509"/>
    <tableColumn id="25" name="Domains in Tweet" dataDxfId="508"/>
    <tableColumn id="26" name="Mentions in Tweet" dataDxfId="507"/>
    <tableColumn id="27" name="Media in Tweet" dataDxfId="506"/>
    <tableColumn id="28" name="Media Type" dataDxfId="505"/>
    <tableColumn id="29" name="Source" dataDxfId="504"/>
    <tableColumn id="30" name="Language" dataDxfId="503"/>
    <tableColumn id="31" name="Twitter Page for Tweet" dataDxfId="502"/>
    <tableColumn id="32" name="Tweet Date (UTC)" dataDxfId="501"/>
    <tableColumn id="33" name="Date" dataDxfId="500"/>
    <tableColumn id="34" name="Time" dataDxfId="499"/>
    <tableColumn id="35" name="Possibly Sensitive" dataDxfId="498"/>
    <tableColumn id="36" name="Place Bounding Box" dataDxfId="497"/>
    <tableColumn id="37" name="Place Country" dataDxfId="496"/>
    <tableColumn id="38" name="Place Country Code" dataDxfId="495"/>
    <tableColumn id="39" name="Place Full Name" dataDxfId="494"/>
    <tableColumn id="40" name="Place ID" dataDxfId="493"/>
    <tableColumn id="41" name="Place Name" dataDxfId="492"/>
    <tableColumn id="42" name="Place Type" dataDxfId="491"/>
    <tableColumn id="43" name="Media Key" dataDxfId="490"/>
    <tableColumn id="44" name="Media Duration (ms)" dataDxfId="489"/>
    <tableColumn id="45" name="Media Height" dataDxfId="488"/>
    <tableColumn id="46" name="Media Width" dataDxfId="487"/>
    <tableColumn id="47" name="Media View Count" dataDxfId="486"/>
    <tableColumn id="48" name="Tweet Image File" dataDxfId="485"/>
    <tableColumn id="49" name="Imported ID" dataDxfId="484"/>
    <tableColumn id="50" name="Conversation ID" dataDxfId="483"/>
    <tableColumn id="51" name="In Reply To User ID" dataDxfId="482"/>
    <tableColumn id="52" name="In Reply To Tweet ID" dataDxfId="481"/>
    <tableColumn id="53" name="Quoted Status ID" dataDxfId="480"/>
    <tableColumn id="54" name="Retweet ID" dataDxfId="479"/>
    <tableColumn id="55" name="Unified Twitter ID" dataDxfId="478"/>
    <tableColumn id="56" name="Author ID" dataDxfId="477"/>
    <tableColumn id="57" name="Poll ID" dataDxfId="476"/>
    <tableColumn id="58" name="Poll Options" dataDxfId="475"/>
    <tableColumn id="59" name="Poll Duration" dataDxfId="474"/>
    <tableColumn id="60" name="Poll End Date" dataDxfId="473"/>
    <tableColumn id="61" name="Poll Voting Status" dataDxfId="161"/>
    <tableColumn id="62" name="Sentiment List #1: List1 Word Count" dataDxfId="160"/>
    <tableColumn id="63" name="Sentiment List #1: List1 Word Percentage (%)" dataDxfId="159"/>
    <tableColumn id="64" name="Sentiment List #2: List2 Word Count" dataDxfId="158"/>
    <tableColumn id="65" name="Sentiment List #2: List2 Word Percentage (%)" dataDxfId="157"/>
    <tableColumn id="66" name="Sentiment List #3: List3 Word Count" dataDxfId="156"/>
    <tableColumn id="67" name="Sentiment List #3: List3 Word Percentage (%)" dataDxfId="155"/>
    <tableColumn id="68" name="Non-categorized Word Count" dataDxfId="154"/>
    <tableColumn id="69" name="Non-categorized Word Percentage (%)" dataDxfId="153"/>
    <tableColumn id="70" name="Edge Content Word Count" dataDxfId="151"/>
    <tableColumn id="71" name="Edge Weight" dataDxfId="152"/>
    <tableColumn id="72" name="Vertex 1 Group" dataDxfId="197">
      <calculatedColumnFormula>REPLACE(INDEX(GroupVertices[Group], MATCH("~"&amp;Edges[[#This Row],[Vertex 1]],GroupVertices[Vertex],0)),1,1,"")</calculatedColumnFormula>
    </tableColumn>
    <tableColumn id="73" name="Vertex 2 Group" dataDxfId="19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4" totalsRowShown="0" headerRowDxfId="390">
  <autoFilter ref="M1:P44"/>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TwitterSearchNetworkTopItems_1" displayName="TwitterSearchNetworkTopItems_1" ref="A1:B11" totalsRowShown="0" headerRowDxfId="248" dataDxfId="247">
  <autoFilter ref="A1:B11"/>
  <tableColumns count="2">
    <tableColumn id="1" name="Top URLs in Tweet in Entire Graph" dataDxfId="246"/>
    <tableColumn id="2" name="Entire Graph Count" dataDxfId="245"/>
  </tableColumns>
  <tableStyleInfo name="NodeXL Table" showFirstColumn="0" showLastColumn="0" showRowStripes="1" showColumnStripes="0"/>
</table>
</file>

<file path=xl/tables/table12.xml><?xml version="1.0" encoding="utf-8"?>
<table xmlns="http://schemas.openxmlformats.org/spreadsheetml/2006/main" id="38" name="TwitterSearchNetworkTopItems_2" displayName="TwitterSearchNetworkTopItems_2" ref="A14:B24" totalsRowShown="0" headerRowDxfId="244" dataDxfId="243">
  <autoFilter ref="A14:B24"/>
  <tableColumns count="2">
    <tableColumn id="1" name="Top Domains in Tweet in Entire Graph" dataDxfId="242"/>
    <tableColumn id="2" name="Entire Graph Count" dataDxfId="241"/>
  </tableColumns>
  <tableStyleInfo name="NodeXL Table" showFirstColumn="0" showLastColumn="0" showRowStripes="1" showColumnStripes="0"/>
</table>
</file>

<file path=xl/tables/table13.xml><?xml version="1.0" encoding="utf-8"?>
<table xmlns="http://schemas.openxmlformats.org/spreadsheetml/2006/main" id="39" name="TwitterSearchNetworkTopItems_3" displayName="TwitterSearchNetworkTopItems_3" ref="A27:B37" totalsRowShown="0" headerRowDxfId="240" dataDxfId="239">
  <autoFilter ref="A27:B37"/>
  <tableColumns count="2">
    <tableColumn id="1" name="Top Hashtags in Tweet in Entire Graph" dataDxfId="238"/>
    <tableColumn id="2" name="Entire Graph Count" dataDxfId="237"/>
  </tableColumns>
  <tableStyleInfo name="NodeXL Table" showFirstColumn="0" showLastColumn="0" showRowStripes="1" showColumnStripes="0"/>
</table>
</file>

<file path=xl/tables/table14.xml><?xml version="1.0" encoding="utf-8"?>
<table xmlns="http://schemas.openxmlformats.org/spreadsheetml/2006/main" id="40" name="TwitterSearchNetworkTopItems_4" displayName="TwitterSearchNetworkTopItems_4" ref="A40:B50" totalsRowShown="0" headerRowDxfId="236" dataDxfId="235">
  <autoFilter ref="A40:B50"/>
  <tableColumns count="2">
    <tableColumn id="1" name="Top Words in Tweet in Entire Graph" dataDxfId="234"/>
    <tableColumn id="2" name="Entire Graph Count" dataDxfId="233"/>
  </tableColumns>
  <tableStyleInfo name="NodeXL Table" showFirstColumn="0" showLastColumn="0" showRowStripes="1" showColumnStripes="0"/>
</table>
</file>

<file path=xl/tables/table15.xml><?xml version="1.0" encoding="utf-8"?>
<table xmlns="http://schemas.openxmlformats.org/spreadsheetml/2006/main" id="42" name="TwitterSearchNetworkTopItems_5" displayName="TwitterSearchNetworkTopItems_5" ref="A53:B63" totalsRowShown="0" headerRowDxfId="232" dataDxfId="231">
  <autoFilter ref="A53:B63"/>
  <tableColumns count="2">
    <tableColumn id="1" name="Top Word Pairs in Tweet in Entire Graph" dataDxfId="230"/>
    <tableColumn id="2" name="Entire Graph Count" dataDxfId="229"/>
  </tableColumns>
  <tableStyleInfo name="NodeXL Table" showFirstColumn="0" showLastColumn="0" showRowStripes="1" showColumnStripes="0"/>
</table>
</file>

<file path=xl/tables/table16.xml><?xml version="1.0" encoding="utf-8"?>
<table xmlns="http://schemas.openxmlformats.org/spreadsheetml/2006/main" id="43" name="TwitterSearchNetworkTopItems_6" displayName="TwitterSearchNetworkTopItems_6" ref="A66:B76" totalsRowShown="0" headerRowDxfId="228" dataDxfId="227">
  <autoFilter ref="A66:B76"/>
  <tableColumns count="2">
    <tableColumn id="1" name="Top Replied-To in Entire Graph" dataDxfId="226"/>
    <tableColumn id="2" name="Entire Graph Count" dataDxfId="225"/>
  </tableColumns>
  <tableStyleInfo name="NodeXL Table" showFirstColumn="0" showLastColumn="0" showRowStripes="1" showColumnStripes="0"/>
</table>
</file>

<file path=xl/tables/table17.xml><?xml version="1.0" encoding="utf-8"?>
<table xmlns="http://schemas.openxmlformats.org/spreadsheetml/2006/main" id="44" name="TwitterSearchNetworkTopItems_7" displayName="TwitterSearchNetworkTopItems_7" ref="A79:B89" totalsRowShown="0" headerRowDxfId="224" dataDxfId="223">
  <autoFilter ref="A79:B89"/>
  <tableColumns count="2">
    <tableColumn id="1" name="Top Mentioned in Entire Graph" dataDxfId="222"/>
    <tableColumn id="2" name="Entire Graph Count" dataDxfId="221"/>
  </tableColumns>
  <tableStyleInfo name="NodeXL Table" showFirstColumn="0" showLastColumn="0" showRowStripes="1" showColumnStripes="0"/>
</table>
</file>

<file path=xl/tables/table18.xml><?xml version="1.0" encoding="utf-8"?>
<table xmlns="http://schemas.openxmlformats.org/spreadsheetml/2006/main" id="45" name="TwitterSearchNetworkTopItems_8" displayName="TwitterSearchNetworkTopItems_8" ref="A92:B102" totalsRowShown="0" headerRowDxfId="220" dataDxfId="219">
  <autoFilter ref="A92:B102"/>
  <tableColumns count="2">
    <tableColumn id="1" name="Top Tweeters in Entire Graph" dataDxfId="218"/>
    <tableColumn id="2" name="Entire Graph Count" dataDxfId="217"/>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389" dataDxfId="388">
  <autoFilter ref="A1:B7"/>
  <tableColumns count="2">
    <tableColumn id="1" name="Key" dataDxfId="121"/>
    <tableColumn id="2" name="Value" dataDxfId="1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N279" totalsRowShown="0" headerRowDxfId="472" dataDxfId="471">
  <autoFilter ref="A2:CN279"/>
  <sortState ref="A3:CJ279">
    <sortCondition descending="1" sortBy="value" ref="T3:T279"/>
  </sortState>
  <tableColumns count="92">
    <tableColumn id="1" name="Vertex" dataDxfId="470"/>
    <tableColumn id="88" name="Subgraph"/>
    <tableColumn id="2" name="Color" dataDxfId="469"/>
    <tableColumn id="5" name="Shape" dataDxfId="468"/>
    <tableColumn id="6" name="Size" dataDxfId="467"/>
    <tableColumn id="4" name="Opacity" dataDxfId="466"/>
    <tableColumn id="7" name="Image File" dataDxfId="465"/>
    <tableColumn id="3" name="Visibility" dataDxfId="464"/>
    <tableColumn id="10" name="Label" dataDxfId="250">
      <calculatedColumnFormula>Vertices[[#This Row],[Vertex]]</calculatedColumnFormula>
    </tableColumn>
    <tableColumn id="16" name="Label Fill Color" dataDxfId="463"/>
    <tableColumn id="9" name="Label Position" dataDxfId="462"/>
    <tableColumn id="8" name="Tooltip" dataDxfId="461"/>
    <tableColumn id="18" name="Layout Order" dataDxfId="460"/>
    <tableColumn id="13" name="X" dataDxfId="459"/>
    <tableColumn id="14" name="Y" dataDxfId="458"/>
    <tableColumn id="12" name="Locked?" dataDxfId="457"/>
    <tableColumn id="19" name="Polar R" dataDxfId="456"/>
    <tableColumn id="20" name="Polar Angle" dataDxfId="455"/>
    <tableColumn id="21" name="Degree" dataDxfId="117"/>
    <tableColumn id="22" name="In-Degree" dataDxfId="116"/>
    <tableColumn id="23" name="Out-Degree" dataDxfId="114"/>
    <tableColumn id="24" name="Betweenness Centrality" dataDxfId="115"/>
    <tableColumn id="25" name="Closeness Centrality" dataDxfId="118"/>
    <tableColumn id="26" name="Eigenvector Centrality" dataDxfId="119"/>
    <tableColumn id="15" name="PageRank" dataDxfId="206"/>
    <tableColumn id="27" name="Clustering Coefficient" dataDxfId="205"/>
    <tableColumn id="29" name="Reciprocated Vertex Pair Ratio" dataDxfId="122"/>
    <tableColumn id="11" name="ID" dataDxfId="454"/>
    <tableColumn id="28" name="Dynamic Filter" dataDxfId="453">
      <calculatedColumnFormula> IF(AND(OR(NOT(ISNUMBER(Vertices[[#This Row],[In-Degree]])), Vertices[[#This Row],[In-Degree]] &gt;= Misc!$O$19), OR(NOT(ISNUMBER(Vertices[[#This Row],[In-Degree]])), Vertices[[#This Row],[In-Degree]] &lt;= Misc!$P$19),OR(NOT(ISNUMBER(Vertices[[#This Row],[Out-Degree]])), Vertices[[#This Row],[Out-Degree]] &gt;= Misc!$O$20), OR(NOT(ISNUMBER(Vertices[[#This Row],[Out-Degree]])), Vertices[[#This Row],[Out-Degree]] &lt;= Misc!$P$20),OR(NOT(ISNUMBER(Vertices[[#This Row],[Betweenness Centrality]])), Vertices[[#This Row],[Betweenness Centrality]] &gt;= Misc!$O$21), OR(NOT(ISNUMBER(Vertices[[#This Row],[Betweenness Centrality]])), Vertices[[#This Row],[Betweenness Centrality]] &lt;= Misc!$P$21),OR(NOT(ISNUMBER(Vertices[[#This Row],[Closeness Centrality]])), Vertices[[#This Row],[Closeness Centrality]] &gt;= Misc!$O$22), OR(NOT(ISNUMBER(Vertices[[#This Row],[Closeness Centrality]])), Vertices[[#This Row],[Closeness Centrality]] &lt;= Misc!$P$22),OR(NOT(ISNUMBER(Vertices[[#This Row],[Eigenvector Centrality]])), Vertices[[#This Row],[Eigenvector Centrality]] &gt;= Misc!$O$23), OR(NOT(ISNUMBER(Vertices[[#This Row],[Eigenvector Centrality]])), Vertices[[#This Row],[Eigenvector Centrality]] &lt;= Misc!$P$23),OR(NOT(ISNUMBER(Vertices[[#This Row],[PageRank]])), Vertices[[#This Row],[PageRank]] &gt;= Misc!$O$24), OR(NOT(ISNUMBER(Vertices[[#This Row],[PageRank]])), Vertices[[#This Row],[PageRank]] &lt;= Misc!$P$24),OR(NOT(ISNUMBER(Vertices[[#This Row],[Clustering Coefficient]])), Vertices[[#This Row],[Clustering Coefficient]] &gt;= Misc!$O$25), OR(NOT(ISNUMBER(Vertices[[#This Row],[Clustering Coefficient]])), Vertices[[#This Row],[Clustering Coefficient]] &lt;= Misc!$P$25),OR(NOT(ISNUMBER(Vertices[[#This Row],[Followers]])), Vertices[[#This Row],[Followers]] &gt;= Misc!$O$26), OR(NOT(ISNUMBER(Vertices[[#This Row],[Followers]])), Vertices[[#This Row],[Followers]] &lt;= Misc!$P$26),OR(NOT(ISNUMBER(Vertices[[#This Row],[Followed]])), Vertices[[#This Row],[Followed]] &gt;= Misc!$O$27), OR(NOT(ISNUMBER(Vertices[[#This Row],[Followed]])), Vertices[[#This Row],[Followed]] &lt;= Misc!$P$27),OR(NOT(ISNUMBER(Vertices[[#This Row],[Tweets]])), Vertices[[#This Row],[Tweets]] &gt;= Misc!$O$28), OR(NOT(ISNUMBER(Vertices[[#This Row],[Tweets]])), Vertices[[#This Row],[Tweets]] &lt;= Misc!$P$28),OR(NOT(ISNUMBER(Vertices[[#This Row],[Listed Count]])), Vertices[[#This Row],[Listed Count]] &gt;= Misc!$O$29), OR(NOT(ISNUMBER(Vertices[[#This Row],[Listed Count]])), Vertices[[#This Row],[Listed Count]] &lt;= Misc!$P$29),OR(NOT(ISNUMBER(Vertices[[#This Row],[Favourites Count]])), Vertices[[#This Row],[Favourites Count]] &gt;= Misc!$O$30), OR(NOT(ISNUMBER(Vertices[[#This Row],[Favourites Count]])), Vertices[[#This Row],[Favourites Count]] &lt;= Misc!$P$30),OR(NOT(ISNUMBER(Vertices[[#This Row],[Media Count]])), Vertices[[#This Row],[Media Count]] &gt;= Misc!$O$31), OR(NOT(ISNUMBER(Vertices[[#This Row],[Media Count]])), Vertices[[#This Row],[Media Count]] &lt;= Misc!$P$31),OR(NOT(ISNUMBER(Vertices[[#This Row],[Joined Twitter Date (UTC)]])), Vertices[[#This Row],[Joined Twitter Date (UTC)]] &gt;= Misc!$O$32), OR(NOT(ISNUMBER(Vertices[[#This Row],[Joined Twitter Date (UTC)]])), Vertices[[#This Row],[Joined Twitter Date (UTC)]] &lt;= Misc!$P$32),TRUE), TRUE, FALSE)</calculatedColumnFormula>
    </tableColumn>
    <tableColumn id="17" name="Add Your Own Columns Here" dataDxfId="452"/>
    <tableColumn id="30" name="Name" dataDxfId="451"/>
    <tableColumn id="31" name="User ID" dataDxfId="450"/>
    <tableColumn id="32" name="Followers" dataDxfId="449"/>
    <tableColumn id="33" name="Followed" dataDxfId="448"/>
    <tableColumn id="34" name="Tweets" dataDxfId="447"/>
    <tableColumn id="35" name="Listed Count" dataDxfId="446"/>
    <tableColumn id="36" name="Favourites Count" dataDxfId="445"/>
    <tableColumn id="37" name="Media Count" dataDxfId="444"/>
    <tableColumn id="38" name="Verified" dataDxfId="443"/>
    <tableColumn id="39" name="Joined Twitter Date (UTC)" dataDxfId="442"/>
    <tableColumn id="40" name="Location" dataDxfId="441"/>
    <tableColumn id="41" name="Description" dataDxfId="440"/>
    <tableColumn id="42" name="URLs (Details)" dataDxfId="439"/>
    <tableColumn id="43" name="Expanded URLs (Details)" dataDxfId="438"/>
    <tableColumn id="44" name="Display URLs (Details)" dataDxfId="437"/>
    <tableColumn id="45" name="Description URLs (Details)" dataDxfId="436"/>
    <tableColumn id="46" name="Description Expanded URLs (Details)" dataDxfId="435"/>
    <tableColumn id="47" name="Description Display URLS (Details)" dataDxfId="434"/>
    <tableColumn id="48" name="Pinned Tweet ID" dataDxfId="433"/>
    <tableColumn id="49" name="URL" dataDxfId="432"/>
    <tableColumn id="50" name="Is Blue Verified" dataDxfId="431"/>
    <tableColumn id="51" name="You Are Followed By" dataDxfId="430"/>
    <tableColumn id="52" name="You Are Following" dataDxfId="429"/>
    <tableColumn id="53" name="Can DM" dataDxfId="428"/>
    <tableColumn id="54" name="Can Media Tag" dataDxfId="427"/>
    <tableColumn id="55" name="Default Profile" dataDxfId="426"/>
    <tableColumn id="56" name="Default Profile Image" dataDxfId="425"/>
    <tableColumn id="57" name="Has Custom Timelines" dataDxfId="424"/>
    <tableColumn id="58" name="Is Translator" dataDxfId="423"/>
    <tableColumn id="59" name="Possibly Sensitive" dataDxfId="422"/>
    <tableColumn id="60" name="Profile Banner URL" dataDxfId="421"/>
    <tableColumn id="61" name="Profile Interstitial Type" dataDxfId="420"/>
    <tableColumn id="62" name="Translator Type" dataDxfId="419"/>
    <tableColumn id="63" name="Want Retweets" dataDxfId="418"/>
    <tableColumn id="64" name="Withheld" dataDxfId="417"/>
    <tableColumn id="65" name="Tweeted Search Term?" dataDxfId="416"/>
    <tableColumn id="66" name="Custom Menu Item Text" dataDxfId="415"/>
    <tableColumn id="67" name="Custom Menu Item Action" dataDxfId="216"/>
    <tableColumn id="68" name="Top URLs in Tweet by Count" dataDxfId="215"/>
    <tableColumn id="69" name="Top URLs in Tweet by Salience" dataDxfId="214"/>
    <tableColumn id="70" name="Top Domains in Tweet by Count" dataDxfId="213"/>
    <tableColumn id="71" name="Top Domains in Tweet by Salience" dataDxfId="212"/>
    <tableColumn id="72" name="Top Hashtags in Tweet by Count" dataDxfId="211"/>
    <tableColumn id="73" name="Top Hashtags in Tweet by Salience" dataDxfId="5"/>
    <tableColumn id="74" name="Top Words in Tweet by Count" dataDxfId="4"/>
    <tableColumn id="75" name="Top Words in Tweet by Salience" dataDxfId="3"/>
    <tableColumn id="76" name="Top Word Pairs in Tweet by Count" dataDxfId="2"/>
    <tableColumn id="77" name="Top Word Pairs in Tweet by Salience" dataDxfId="0"/>
    <tableColumn id="78" name="Sentiment List #1: List1 Word Count" dataDxfId="1"/>
    <tableColumn id="79" name="Sentiment List #1: List1 Word Percentage (%)" dataDxfId="150"/>
    <tableColumn id="80" name="Sentiment List #2: List2 Word Count" dataDxfId="149"/>
    <tableColumn id="81" name="Sentiment List #2: List2 Word Percentage (%)" dataDxfId="148"/>
    <tableColumn id="82" name="Sentiment List #3: List3 Word Count" dataDxfId="147"/>
    <tableColumn id="83" name="Sentiment List #3: List3 Word Percentage (%)" dataDxfId="146"/>
    <tableColumn id="84" name="Non-categorized Word Count" dataDxfId="145"/>
    <tableColumn id="85" name="Non-categorized Word Percentage (%)" dataDxfId="144"/>
    <tableColumn id="86" name="Vertex Content Word Count" dataDxfId="143"/>
    <tableColumn id="87" name="Vertex Group" dataDxfId="10">
      <calculatedColumnFormula>REPLACE(INDEX(GroupVertices[Group], MATCH("~"&amp;Vertices[[#This Row],[Vertex]],GroupVertices[Vertex],0)),1,1,"")</calculatedColumnFormula>
    </tableColumn>
    <tableColumn id="89" name="URLs in Tweet by Count" dataDxfId="9"/>
    <tableColumn id="90" name="URLs in Tweet by Salience" dataDxfId="8"/>
    <tableColumn id="91" name="Hashtags in Tweet by Count" dataDxfId="7"/>
    <tableColumn id="92" name="Hashtags in Tweet by Salience" dataDxfId="6"/>
  </tableColumns>
  <tableStyleInfo name="NodeXL Table" showFirstColumn="0" showLastColumn="0" showRowStripes="0" showColumnStripes="0"/>
</table>
</file>

<file path=xl/tables/table20.xml><?xml version="1.0" encoding="utf-8"?>
<table xmlns="http://schemas.openxmlformats.org/spreadsheetml/2006/main" id="28" name="Words" displayName="Words" ref="A1:G850" totalsRowShown="0" headerRowDxfId="387" dataDxfId="386">
  <autoFilter ref="A1:G850"/>
  <tableColumns count="7">
    <tableColumn id="1" name="Word" dataDxfId="180"/>
    <tableColumn id="2" name="Count" dataDxfId="179"/>
    <tableColumn id="3" name="Salience" dataDxfId="178"/>
    <tableColumn id="4" name="Word on Sentiment List #1: List1" dataDxfId="177"/>
    <tableColumn id="5" name="Word on Sentiment List #2: List2" dataDxfId="176"/>
    <tableColumn id="6" name="Word on Sentiment List #3: List3" dataDxfId="174"/>
    <tableColumn id="7" name="Group" dataDxfId="175"/>
  </tableColumns>
  <tableStyleInfo name="NodeXL Table" showFirstColumn="0" showLastColumn="0" showRowStripes="1" showColumnStripes="0"/>
</table>
</file>

<file path=xl/tables/table21.xml><?xml version="1.0" encoding="utf-8"?>
<table xmlns="http://schemas.openxmlformats.org/spreadsheetml/2006/main" id="29" name="WordPairs" displayName="WordPairs" ref="A1:L297" totalsRowShown="0" headerRowDxfId="385" dataDxfId="384">
  <autoFilter ref="A1:L297"/>
  <tableColumns count="12">
    <tableColumn id="1" name="Word 1" dataDxfId="173"/>
    <tableColumn id="2" name="Word 2" dataDxfId="172"/>
    <tableColumn id="3" name="Count" dataDxfId="171"/>
    <tableColumn id="4" name="Salience" dataDxfId="170"/>
    <tableColumn id="5" name="Mutual Information" dataDxfId="169"/>
    <tableColumn id="6" name="Word1 on Sentiment List #1: List1" dataDxfId="168"/>
    <tableColumn id="7" name="Word1 on Sentiment List #2: List2" dataDxfId="167"/>
    <tableColumn id="8" name="Word1 on Sentiment List #3: List3" dataDxfId="166"/>
    <tableColumn id="9" name="Word2 on Sentiment List #1: List1" dataDxfId="165"/>
    <tableColumn id="10" name="Word2 on Sentiment List #2: List2" dataDxfId="164"/>
    <tableColumn id="11" name="Word2 on Sentiment List #3: List3" dataDxfId="162"/>
    <tableColumn id="12" name="Group" dataDxfId="163"/>
  </tableColumns>
  <tableStyleInfo name="NodeXL Table" showFirstColumn="0" showLastColumn="0" showRowStripes="1" showColumnStripes="0"/>
</table>
</file>

<file path=xl/tables/table22.xml><?xml version="1.0" encoding="utf-8"?>
<table xmlns="http://schemas.openxmlformats.org/spreadsheetml/2006/main" id="41" name="GroupEdges" displayName="GroupEdges" ref="A2:C68" totalsRowShown="0" headerRowDxfId="383" dataDxfId="382">
  <autoFilter ref="A2:C68"/>
  <tableColumns count="3">
    <tableColumn id="1" name="Group 1" dataDxfId="127"/>
    <tableColumn id="2" name="Group 2" dataDxfId="126"/>
    <tableColumn id="3" name="Edges" dataDxfId="125"/>
  </tableColumns>
  <tableStyleInfo name="NodeXL Table" showFirstColumn="0" showLastColumn="0" showRowStripes="1" showColumnStripes="0"/>
</table>
</file>

<file path=xl/tables/table23.xml><?xml version="1.0" encoding="utf-8"?>
<table xmlns="http://schemas.openxmlformats.org/spreadsheetml/2006/main" id="36" name="Edges37" displayName="Edges37" ref="A2:BU197" totalsRowShown="0" headerRowDxfId="325" dataDxfId="324">
  <autoFilter ref="A2:BU197"/>
  <tableColumns count="73">
    <tableColumn id="1" name="Vertex 1" dataDxfId="323"/>
    <tableColumn id="2" name="Vertex 2" dataDxfId="322"/>
    <tableColumn id="3" name="Color" dataDxfId="321"/>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313"/>
    <tableColumn id="7" name="ID" dataDxfId="312"/>
    <tableColumn id="9" name="Dynamic Filter" dataDxfId="311">
      <calculatedColumnFormula> IF(AND(OR(NOT(ISNUMBER(Edges37[[#This Row],[Relationship Date (UTC)]])), Edges37[[#This Row],[Relationship Date (UTC)]] &gt;= Misc!$O$2), OR(NOT(ISNUMBER(Edges37[[#This Row],[Relationship Date (UTC)]])), Edges37[[#This Row],[Relationship Date (UTC)]] &lt;= Misc!$P$2),OR(NOT(ISNUMBER(Edges37[[#This Row],[Retweet Count]])), Edges37[[#This Row],[Retweet Count]] &gt;= Misc!$O$3), OR(NOT(ISNUMBER(Edges37[[#This Row],[Retweet Count]])), Edges37[[#This Row],[Retweet Count]] &lt;= Misc!$P$3),OR(NOT(ISNUMBER(Edges37[[#This Row],[Favorite Count]])), Edges37[[#This Row],[Favorite Count]] &gt;= Misc!$O$4), OR(NOT(ISNUMBER(Edges37[[#This Row],[Favorite Count]])), Edges37[[#This Row],[Favorite Count]] &lt;= Misc!$P$4),OR(NOT(ISNUMBER(Edges37[[#This Row],[Reply Count]])), Edges37[[#This Row],[Reply Count]] &gt;= Misc!$O$5), OR(NOT(ISNUMBER(Edges37[[#This Row],[Reply Count]])), Edges37[[#This Row],[Reply Count]] &lt;= Misc!$P$5),OR(NOT(ISNUMBER(Edges37[[#This Row],[Quote Count]])), Edges37[[#This Row],[Quote Count]] &gt;= Misc!$O$6), OR(NOT(ISNUMBER(Edges37[[#This Row],[Quote Count]])), Edges37[[#This Row],[Quote Count]] &lt;= Misc!$P$6),OR(NOT(ISNUMBER(Edges37[[#This Row],[Tweet Date (UTC)]])), Edges37[[#This Row],[Tweet Date (UTC)]] &gt;= Misc!$O$7), OR(NOT(ISNUMBER(Edges37[[#This Row],[Tweet Date (UTC)]])), Edges37[[#This Row],[Tweet Date (UTC)]] &lt;= Misc!$P$7),OR(NOT(ISNUMBER(Edges37[[#This Row],[Date]])), Edges37[[#This Row],[Date]] &gt;= Misc!$O$8), OR(NOT(ISNUMBER(Edges37[[#This Row],[Date]])), Edges37[[#This Row],[Date]] &lt;= Misc!$P$8),OR(NOT(ISNUMBER(Edges37[[#This Row],[Sentiment List '#1: List1 Word Count]])), Edges37[[#This Row],[Sentiment List '#1: List1 Word Count]] &gt;= Misc!$O$9), OR(NOT(ISNUMBER(Edges37[[#This Row],[Sentiment List '#1: List1 Word Count]])), Edges37[[#This Row],[Sentiment List '#1: List1 Word Count]] &lt;= Misc!$P$9),OR(NOT(ISNUMBER(Edges37[[#This Row],[Sentiment List '#1: List1 Word Percentage (%)]])), Edges37[[#This Row],[Sentiment List '#1: List1 Word Percentage (%)]] &gt;= Misc!$O$10), OR(NOT(ISNUMBER(Edges37[[#This Row],[Sentiment List '#1: List1 Word Percentage (%)]])), Edges37[[#This Row],[Sentiment List '#1: List1 Word Percentage (%)]] &lt;= Misc!$P$10),OR(NOT(ISNUMBER(Edges37[[#This Row],[Sentiment List '#2: List2 Word Count]])), Edges37[[#This Row],[Sentiment List '#2: List2 Word Count]] &gt;= Misc!$O$11), OR(NOT(ISNUMBER(Edges37[[#This Row],[Sentiment List '#2: List2 Word Count]])), Edges37[[#This Row],[Sentiment List '#2: List2 Word Count]] &lt;= Misc!$P$11),OR(NOT(ISNUMBER(Edges37[[#This Row],[Sentiment List '#2: List2 Word Percentage (%)]])), Edges37[[#This Row],[Sentiment List '#2: List2 Word Percentage (%)]] &gt;= Misc!$O$12), OR(NOT(ISNUMBER(Edges37[[#This Row],[Sentiment List '#2: List2 Word Percentage (%)]])), Edges37[[#This Row],[Sentiment List '#2: List2 Word Percentage (%)]] &lt;= Misc!$P$12),OR(NOT(ISNUMBER(Edges37[[#This Row],[Non-categorized Word Count]])), Edges37[[#This Row],[Non-categorized Word Count]] &gt;= Misc!$O$13), OR(NOT(ISNUMBER(Edges37[[#This Row],[Non-categorized Word Count]])), Edges37[[#This Row],[Non-categorized Word Count]] &lt;= Misc!$P$13),OR(NOT(ISNUMBER(Edges37[[#This Row],[Non-categorized Word Percentage (%)]])), Edges37[[#This Row],[Non-categorized Word Percentage (%)]] &gt;= Misc!$O$14), OR(NOT(ISNUMBER(Edges37[[#This Row],[Non-categorized Word Percentage (%)]])), Edges37[[#This Row],[Non-categorized Word Percentage (%)]] &lt;= Misc!$P$14),OR(NOT(ISNUMBER(Edges37[[#This Row],[Edge Content Word Count]])), Edges37[[#This Row],[Edge Content Word Count]] &gt;= Misc!$O$15), OR(NOT(ISNUMBER(Edges37[[#This Row],[Edge Content Word Count]])), Edges37[[#This Row],[Edge Content Word Count]] &lt;= Misc!$P$15),OR(NOT(ISNUMBER(Edges37[[#This Row],[Edge Weight]])), Edges37[[#This Row],[Edge Weight]] &gt;= Misc!$O$42), OR(NOT(ISNUMBER(Edges37[[#This Row],[Edge Weight]])), Edges37[[#This Row],[Edge Weight]] &lt;= Misc!$P$42),TRUE), TRUE, FALSE)</calculatedColumnFormula>
    </tableColumn>
    <tableColumn id="8" name="Add Your Own Columns Here" dataDxfId="310"/>
    <tableColumn id="15" name="Relationship" dataDxfId="309"/>
    <tableColumn id="16" name="Relationship Date (UTC)" dataDxfId="308"/>
    <tableColumn id="17" name="Tweet" dataDxfId="307"/>
    <tableColumn id="18" name="Retweet Count" dataDxfId="306"/>
    <tableColumn id="19" name="Favorite Count" dataDxfId="305"/>
    <tableColumn id="20" name="Reply Count" dataDxfId="304"/>
    <tableColumn id="21" name="Quote Count" dataDxfId="303"/>
    <tableColumn id="22" name="Impression Count" dataDxfId="302"/>
    <tableColumn id="23" name="Hashtags in Tweet" dataDxfId="301"/>
    <tableColumn id="24" name="URLs in Tweet" dataDxfId="300"/>
    <tableColumn id="25" name="Domains in Tweet" dataDxfId="299"/>
    <tableColumn id="26" name="Mentions in Tweet" dataDxfId="298"/>
    <tableColumn id="27" name="Media in Tweet" dataDxfId="297"/>
    <tableColumn id="28" name="Media Type" dataDxfId="296"/>
    <tableColumn id="29" name="Source" dataDxfId="295"/>
    <tableColumn id="30" name="Language" dataDxfId="294"/>
    <tableColumn id="31" name="Twitter Page for Tweet" dataDxfId="293"/>
    <tableColumn id="32" name="Tweet Date (UTC)" dataDxfId="292"/>
    <tableColumn id="33" name="Date" dataDxfId="291"/>
    <tableColumn id="34" name="Time" dataDxfId="290"/>
    <tableColumn id="35" name="Possibly Sensitive" dataDxfId="289"/>
    <tableColumn id="36" name="Place Bounding Box" dataDxfId="288"/>
    <tableColumn id="37" name="Place Country" dataDxfId="287"/>
    <tableColumn id="38" name="Place Country Code" dataDxfId="286"/>
    <tableColumn id="39" name="Place Full Name" dataDxfId="285"/>
    <tableColumn id="40" name="Place ID" dataDxfId="284"/>
    <tableColumn id="41" name="Place Name" dataDxfId="283"/>
    <tableColumn id="42" name="Place Type" dataDxfId="282"/>
    <tableColumn id="43" name="Media Key" dataDxfId="281"/>
    <tableColumn id="44" name="Media Duration (ms)" dataDxfId="280"/>
    <tableColumn id="45" name="Media Height" dataDxfId="279"/>
    <tableColumn id="46" name="Media Width" dataDxfId="278"/>
    <tableColumn id="47" name="Media View Count" dataDxfId="277"/>
    <tableColumn id="48" name="Tweet Image File" dataDxfId="276"/>
    <tableColumn id="49" name="Imported ID" dataDxfId="275"/>
    <tableColumn id="50" name="Conversation ID" dataDxfId="274"/>
    <tableColumn id="51" name="In Reply To User ID" dataDxfId="273"/>
    <tableColumn id="52" name="In Reply To Tweet ID" dataDxfId="272"/>
    <tableColumn id="53" name="Quoted Status ID" dataDxfId="271"/>
    <tableColumn id="54" name="Retweet ID" dataDxfId="270"/>
    <tableColumn id="55" name="Unified Twitter ID" dataDxfId="269"/>
    <tableColumn id="56" name="Author ID" dataDxfId="268"/>
    <tableColumn id="57" name="Poll ID" dataDxfId="267"/>
    <tableColumn id="58" name="Poll Options" dataDxfId="266"/>
    <tableColumn id="59" name="Poll Duration" dataDxfId="265"/>
    <tableColumn id="60" name="Poll End Date" dataDxfId="264"/>
    <tableColumn id="61" name="Poll Voting Status" dataDxfId="263"/>
    <tableColumn id="62" name="Sentiment List #1: List1 Word Count" dataDxfId="262"/>
    <tableColumn id="63" name="Sentiment List #1: List1 Word Percentage (%)" dataDxfId="261"/>
    <tableColumn id="64" name="Sentiment List #2: List2 Word Count" dataDxfId="260"/>
    <tableColumn id="65" name="Sentiment List #2: List2 Word Percentage (%)" dataDxfId="259"/>
    <tableColumn id="66" name="Sentiment List #3: List3 Word Count" dataDxfId="258"/>
    <tableColumn id="67" name="Sentiment List #3: List3 Word Percentage (%)" dataDxfId="257"/>
    <tableColumn id="68" name="Non-categorized Word Count" dataDxfId="256"/>
    <tableColumn id="69" name="Non-categorized Word Percentage (%)" dataDxfId="255"/>
    <tableColumn id="70" name="Edge Content Word Count" dataDxfId="254"/>
    <tableColumn id="71" name="Edge Weight" dataDxfId="253"/>
    <tableColumn id="72" name="Vertex 1 Group" dataDxfId="252">
      <calculatedColumnFormula>REPLACE(INDEX(GroupVertices[Group], MATCH("~"&amp;Edges37[[#This Row],[Vertex 1]],GroupVertices[Vertex],0)),1,1,"")</calculatedColumnFormula>
    </tableColumn>
    <tableColumn id="73" name="Vertex 2 Group" dataDxfId="251">
      <calculatedColumnFormula>REPLACE(INDEX(GroupVertices[Group], MATCH("~"&amp;Edges37[[#This Row],[Vertex 2]],GroupVertices[Vertex],0)),1,1,"")</calculatedColumnFormula>
    </tableColumn>
  </tableColumns>
  <tableStyleInfo name="NodeXL Table" showFirstColumn="0" showLastColumn="0" showRowStripes="0" showColumnStripes="0"/>
</table>
</file>

<file path=xl/tables/table24.xml><?xml version="1.0" encoding="utf-8"?>
<table xmlns="http://schemas.openxmlformats.org/spreadsheetml/2006/main" id="20" name="TopItems_1" displayName="TopItems_1" ref="A1:B2" totalsRowShown="0" headerRowDxfId="381" dataDxfId="380">
  <autoFilter ref="A1:B2"/>
  <tableColumns count="2">
    <tableColumn id="1" name="Top 10 Vertices, Ranked by Top URLs in Tweet by Count" dataDxfId="379"/>
    <tableColumn id="2" name="Top URLs in Tweet by Count" dataDxfId="378"/>
  </tableColumns>
  <tableStyleInfo name="NodeXL Table" showFirstColumn="0" showLastColumn="0" showRowStripes="1" showColumnStripes="0"/>
</table>
</file>

<file path=xl/tables/table25.xml><?xml version="1.0" encoding="utf-8"?>
<table xmlns="http://schemas.openxmlformats.org/spreadsheetml/2006/main" id="21" name="TopItems_2" displayName="TopItems_2" ref="A4:B5" totalsRowShown="0" headerRowDxfId="377" dataDxfId="376">
  <autoFilter ref="A4:B5"/>
  <tableColumns count="2">
    <tableColumn id="1" name="Top 10 Vertices, Ranked by Top URLs in Tweet by Salience" dataDxfId="375"/>
    <tableColumn id="2" name="Top URLs in Tweet by Salience" dataDxfId="374"/>
  </tableColumns>
  <tableStyleInfo name="NodeXL Table" showFirstColumn="0" showLastColumn="0" showRowStripes="1" showColumnStripes="0"/>
</table>
</file>

<file path=xl/tables/table26.xml><?xml version="1.0" encoding="utf-8"?>
<table xmlns="http://schemas.openxmlformats.org/spreadsheetml/2006/main" id="22" name="TopItems_3" displayName="TopItems_3" ref="A7:B8" totalsRowShown="0" headerRowDxfId="373" dataDxfId="372">
  <autoFilter ref="A7:B8"/>
  <tableColumns count="2">
    <tableColumn id="1" name="Top 10 Vertices, Ranked by Top Domains in Tweet by Count" dataDxfId="371"/>
    <tableColumn id="2" name="Top Domains in Tweet by Count" dataDxfId="370"/>
  </tableColumns>
  <tableStyleInfo name="NodeXL Table" showFirstColumn="0" showLastColumn="0" showRowStripes="1" showColumnStripes="0"/>
</table>
</file>

<file path=xl/tables/table27.xml><?xml version="1.0" encoding="utf-8"?>
<table xmlns="http://schemas.openxmlformats.org/spreadsheetml/2006/main" id="23" name="TopItems_4" displayName="TopItems_4" ref="A10:B11" totalsRowShown="0" headerRowDxfId="369" dataDxfId="368">
  <autoFilter ref="A10:B11"/>
  <tableColumns count="2">
    <tableColumn id="1" name="Top 10 Vertices, Ranked by Top Domains in Tweet by Salience" dataDxfId="367"/>
    <tableColumn id="2" name="Top Domains in Tweet by Salience" dataDxfId="366"/>
  </tableColumns>
  <tableStyleInfo name="NodeXL Table" showFirstColumn="0" showLastColumn="0" showRowStripes="1" showColumnStripes="0"/>
</table>
</file>

<file path=xl/tables/table28.xml><?xml version="1.0" encoding="utf-8"?>
<table xmlns="http://schemas.openxmlformats.org/spreadsheetml/2006/main" id="24" name="TopItems_5" displayName="TopItems_5" ref="A13:B14" totalsRowShown="0" headerRowDxfId="365" dataDxfId="364">
  <autoFilter ref="A13:B14"/>
  <tableColumns count="2">
    <tableColumn id="1" name="Top 10 Vertices, Ranked by Top Hashtags in Tweet by Count" dataDxfId="363"/>
    <tableColumn id="2" name="Top Hashtags in Tweet by Count" dataDxfId="362"/>
  </tableColumns>
  <tableStyleInfo name="NodeXL Table" showFirstColumn="0" showLastColumn="0" showRowStripes="1" showColumnStripes="0"/>
</table>
</file>

<file path=xl/tables/table29.xml><?xml version="1.0" encoding="utf-8"?>
<table xmlns="http://schemas.openxmlformats.org/spreadsheetml/2006/main" id="25" name="TopItems_6" displayName="TopItems_6" ref="A16:B17" totalsRowShown="0" headerRowDxfId="361" dataDxfId="360">
  <autoFilter ref="A16:B17"/>
  <tableColumns count="2">
    <tableColumn id="1" name="Top 10 Vertices, Ranked by Top Hashtags in Tweet by Salience" dataDxfId="359"/>
    <tableColumn id="2" name="Top Hashtags in Tweet by Salience" dataDxfId="35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14">
  <autoFilter ref="A2:AO43"/>
  <tableColumns count="41">
    <tableColumn id="1" name="Group" dataDxfId="204"/>
    <tableColumn id="2" name="Vertex Color" dataDxfId="203"/>
    <tableColumn id="3" name="Vertex Shape" dataDxfId="201"/>
    <tableColumn id="22" name="Visibility" dataDxfId="202"/>
    <tableColumn id="4" name="Collapsed?"/>
    <tableColumn id="18" name="Label" dataDxfId="413"/>
    <tableColumn id="20" name="Collapsed X"/>
    <tableColumn id="21" name="Collapsed Y"/>
    <tableColumn id="6" name="ID" dataDxfId="412"/>
    <tableColumn id="19" name="Collapsed Properties" dataDxfId="194"/>
    <tableColumn id="5" name="Vertices" dataDxfId="193"/>
    <tableColumn id="7" name="Unique Edges" dataDxfId="192"/>
    <tableColumn id="8" name="Edges With Duplicates" dataDxfId="191"/>
    <tableColumn id="9" name="Total Edges" dataDxfId="190"/>
    <tableColumn id="10" name="Self-Loops" dataDxfId="189"/>
    <tableColumn id="24" name="Reciprocated Vertex Pair Ratio" dataDxfId="188"/>
    <tableColumn id="25" name="Reciprocated Edge Ratio" dataDxfId="187"/>
    <tableColumn id="11" name="Connected Components" dataDxfId="186"/>
    <tableColumn id="12" name="Single-Vertex Connected Components" dataDxfId="185"/>
    <tableColumn id="13" name="Maximum Vertices in a Connected Component" dataDxfId="184"/>
    <tableColumn id="14" name="Maximum Edges in a Connected Component" dataDxfId="183"/>
    <tableColumn id="15" name="Maximum Geodesic Distance (Diameter)" dataDxfId="182"/>
    <tableColumn id="16" name="Average Geodesic Distance" dataDxfId="181"/>
    <tableColumn id="17" name="Graph Density" dataDxfId="89"/>
    <tableColumn id="23" name="Top URLs in Tweet" dataDxfId="88"/>
    <tableColumn id="26" name="Top Domains in Tweet" dataDxfId="63"/>
    <tableColumn id="27" name="Top Hashtags in Tweet" dataDxfId="38"/>
    <tableColumn id="28" name="Top Words in Tweet" dataDxfId="13"/>
    <tableColumn id="29" name="Top Word Pairs in Tweet" dataDxfId="11"/>
    <tableColumn id="30" name="Top Replied-To in Tweet" dataDxfId="12"/>
    <tableColumn id="31" name="Top Mentioned in Tweet" dataDxfId="195"/>
    <tableColumn id="32" name="Top Tweeters" dataDxfId="142"/>
    <tableColumn id="33" name="Sentiment List #1: List1 Word Count" dataDxfId="141"/>
    <tableColumn id="34" name="Sentiment List #1: List1 Word Percentage (%)" dataDxfId="140"/>
    <tableColumn id="35" name="Sentiment List #2: List2 Word Count" dataDxfId="139"/>
    <tableColumn id="36" name="Sentiment List #2: List2 Word Percentage (%)" dataDxfId="138"/>
    <tableColumn id="37" name="Sentiment List #3: List3 Word Count" dataDxfId="137"/>
    <tableColumn id="38" name="Sentiment List #3: List3 Word Percentage (%)" dataDxfId="136"/>
    <tableColumn id="39" name="Non-categorized Word Count" dataDxfId="135"/>
    <tableColumn id="40" name="Non-categorized Word Percentage (%)" dataDxfId="134"/>
    <tableColumn id="41" name="Group Content Word Count" dataDxfId="133"/>
  </tableColumns>
  <tableStyleInfo name="NodeXL Table" showFirstColumn="0" showLastColumn="0" showRowStripes="1" showColumnStripes="0"/>
</table>
</file>

<file path=xl/tables/table30.xml><?xml version="1.0" encoding="utf-8"?>
<table xmlns="http://schemas.openxmlformats.org/spreadsheetml/2006/main" id="26" name="TopItems_7" displayName="TopItems_7" ref="A19:B20" totalsRowShown="0" headerRowDxfId="357" dataDxfId="356">
  <autoFilter ref="A19:B20"/>
  <tableColumns count="2">
    <tableColumn id="1" name="Top 10 Vertices, Ranked by Top Words in Tweet by Count" dataDxfId="355"/>
    <tableColumn id="2" name="Top Words in Tweet by Count" dataDxfId="354"/>
  </tableColumns>
  <tableStyleInfo name="NodeXL Table" showFirstColumn="0" showLastColumn="0" showRowStripes="1" showColumnStripes="0"/>
</table>
</file>

<file path=xl/tables/table31.xml><?xml version="1.0" encoding="utf-8"?>
<table xmlns="http://schemas.openxmlformats.org/spreadsheetml/2006/main" id="27" name="TopItems_8" displayName="TopItems_8" ref="A22:B23" totalsRowShown="0" headerRowDxfId="353" dataDxfId="352">
  <autoFilter ref="A22:B23"/>
  <tableColumns count="2">
    <tableColumn id="1" name="Top 10 Vertices, Ranked by Top Words in Tweet by Salience" dataDxfId="351"/>
    <tableColumn id="2" name="Top Words in Tweet by Salience" dataDxfId="350"/>
  </tableColumns>
  <tableStyleInfo name="NodeXL Table" showFirstColumn="0" showLastColumn="0" showRowStripes="1" showColumnStripes="0"/>
</table>
</file>

<file path=xl/tables/table32.xml><?xml version="1.0" encoding="utf-8"?>
<table xmlns="http://schemas.openxmlformats.org/spreadsheetml/2006/main" id="30" name="TopItems_9" displayName="TopItems_9" ref="A25:B26" totalsRowShown="0" headerRowDxfId="349" dataDxfId="348">
  <autoFilter ref="A25:B26"/>
  <tableColumns count="2">
    <tableColumn id="1" name="Top 10 Vertices, Ranked by Top Word Pairs in Tweet by Count" dataDxfId="347"/>
    <tableColumn id="2" name="Top Word Pairs in Tweet by Count" dataDxfId="346"/>
  </tableColumns>
  <tableStyleInfo name="NodeXL Table" showFirstColumn="0" showLastColumn="0" showRowStripes="1" showColumnStripes="0"/>
</table>
</file>

<file path=xl/tables/table33.xml><?xml version="1.0" encoding="utf-8"?>
<table xmlns="http://schemas.openxmlformats.org/spreadsheetml/2006/main" id="31" name="TopItems_10" displayName="TopItems_10" ref="A28:B29" totalsRowShown="0" headerRowDxfId="345" dataDxfId="344">
  <autoFilter ref="A28:B29"/>
  <tableColumns count="2">
    <tableColumn id="1" name="Top 10 Vertices, Ranked by Top Word Pairs in Tweet by Salience" dataDxfId="343"/>
    <tableColumn id="2" name="Top Word Pairs in Tweet by Salience" dataDxfId="342"/>
  </tableColumns>
  <tableStyleInfo name="NodeXL Table" showFirstColumn="0" showLastColumn="0" showRowStripes="1" showColumnStripes="0"/>
</table>
</file>

<file path=xl/tables/table34.xml><?xml version="1.0" encoding="utf-8"?>
<table xmlns="http://schemas.openxmlformats.org/spreadsheetml/2006/main" id="32" name="TopItems_11" displayName="TopItems_11" ref="A31:B41" totalsRowShown="0" headerRowDxfId="341" dataDxfId="340">
  <autoFilter ref="A31:B41"/>
  <tableColumns count="2">
    <tableColumn id="1" name="Top 10 Vertices, Ranked by Sentiment List #1: List1 Word Count" dataDxfId="339"/>
    <tableColumn id="2" name="Sentiment List #1: List1 Word Count" dataDxfId="338"/>
  </tableColumns>
  <tableStyleInfo name="NodeXL Table" showFirstColumn="0" showLastColumn="0" showRowStripes="1" showColumnStripes="0"/>
</table>
</file>

<file path=xl/tables/table35.xml><?xml version="1.0" encoding="utf-8"?>
<table xmlns="http://schemas.openxmlformats.org/spreadsheetml/2006/main" id="33" name="TopItems_12" displayName="TopItems_12" ref="A44:B54" totalsRowShown="0" headerRowDxfId="337" dataDxfId="336">
  <autoFilter ref="A44:B54"/>
  <tableColumns count="2">
    <tableColumn id="1" name="Top 10 Vertices, Ranked by Sentiment List #1: List1 Word Percentage (%)" dataDxfId="335"/>
    <tableColumn id="2" name="Sentiment List #1: List1 Word Percentage (%)" dataDxfId="334"/>
  </tableColumns>
  <tableStyleInfo name="NodeXL Table" showFirstColumn="0" showLastColumn="0" showRowStripes="1" showColumnStripes="0"/>
</table>
</file>

<file path=xl/tables/table36.xml><?xml version="1.0" encoding="utf-8"?>
<table xmlns="http://schemas.openxmlformats.org/spreadsheetml/2006/main" id="34" name="TopItems_13" displayName="TopItems_13" ref="A57:B67" totalsRowShown="0" headerRowDxfId="333" dataDxfId="332">
  <autoFilter ref="A57:B67"/>
  <tableColumns count="2">
    <tableColumn id="1" name="Top 10 Vertices, Ranked by Sentiment List #2: List2 Word Count" dataDxfId="331"/>
    <tableColumn id="2" name="Sentiment List #2: List2 Word Count" dataDxfId="330"/>
  </tableColumns>
  <tableStyleInfo name="NodeXL Table" showFirstColumn="0" showLastColumn="0" showRowStripes="1" showColumnStripes="0"/>
</table>
</file>

<file path=xl/tables/table37.xml><?xml version="1.0" encoding="utf-8"?>
<table xmlns="http://schemas.openxmlformats.org/spreadsheetml/2006/main" id="35" name="TopItems_14" displayName="TopItems_14" ref="A70:B80" totalsRowShown="0" headerRowDxfId="329" dataDxfId="328">
  <autoFilter ref="A70:B80"/>
  <tableColumns count="2">
    <tableColumn id="1" name="Top 10 Vertices, Ranked by Sentiment List #2: List2 Word Percentage (%)" dataDxfId="327"/>
    <tableColumn id="2" name="Sentiment List #2: List2 Word Percentage (%)" dataDxfId="326"/>
  </tableColumns>
  <tableStyleInfo name="NodeXL Table" showFirstColumn="0" showLastColumn="0" showRowStripes="1" showColumnStripes="0"/>
</table>
</file>

<file path=xl/tables/table38.xml><?xml version="1.0" encoding="utf-8"?>
<table xmlns="http://schemas.openxmlformats.org/spreadsheetml/2006/main" id="46" name="VertexContent" displayName="VertexContent" ref="A1:C2972" totalsRowShown="0" headerRowDxfId="210" dataDxfId="209">
  <autoFilter ref="A1:C2972"/>
  <tableColumns count="3">
    <tableColumn id="1" name="VertexID" dataDxfId="132"/>
    <tableColumn id="2" name="Word" dataDxfId="131"/>
    <tableColumn id="3" name="Imported ID" dataDxfId="130"/>
  </tableColumns>
  <tableStyleInfo name="NodeXL Table" showFirstColumn="0" showLastColumn="0" showRowStripes="1" showColumnStripes="0"/>
</table>
</file>

<file path=xl/tables/table39.xml><?xml version="1.0" encoding="utf-8"?>
<table xmlns="http://schemas.openxmlformats.org/spreadsheetml/2006/main" id="47" name="WordList" displayName="WordList" ref="A1:B7044" totalsRowShown="0" headerRowDxfId="208" dataDxfId="207">
  <autoFilter ref="A1:B7044"/>
  <tableColumns count="2">
    <tableColumn id="1" name="Word" dataDxfId="129"/>
    <tableColumn id="2" name="List" dataDxfId="1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0" totalsRowShown="0" headerRowDxfId="411" dataDxfId="410">
  <autoFilter ref="A1:C260"/>
  <tableColumns count="3">
    <tableColumn id="1" name="Group" dataDxfId="200"/>
    <tableColumn id="2" name="Vertex" dataDxfId="199"/>
    <tableColumn id="3" name="Vertex ID" dataDxfId="19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40.xml><?xml version="1.0" encoding="utf-8"?>
<table xmlns="http://schemas.openxmlformats.org/spreadsheetml/2006/main" id="53" name="NetworkTopItems_1" displayName="NetworkTopItems_1" ref="A1:V11" totalsRowShown="0" headerRowDxfId="113" dataDxfId="112">
  <autoFilter ref="A1:V11"/>
  <tableColumns count="22">
    <tableColumn id="1" name="Top URLs in Tweet in Entire Graph" dataDxfId="111"/>
    <tableColumn id="2" name="Entire Graph Count" dataDxfId="110"/>
    <tableColumn id="3" name="Top URLs in Tweet in G1" dataDxfId="109"/>
    <tableColumn id="4" name="G1 Count" dataDxfId="108"/>
    <tableColumn id="5" name="Top URLs in Tweet in G2" dataDxfId="107"/>
    <tableColumn id="6" name="G2 Count" dataDxfId="106"/>
    <tableColumn id="7" name="Top URLs in Tweet in G3" dataDxfId="105"/>
    <tableColumn id="8" name="G3 Count" dataDxfId="104"/>
    <tableColumn id="9" name="Top URLs in Tweet in G4" dataDxfId="103"/>
    <tableColumn id="10" name="G4 Count" dataDxfId="102"/>
    <tableColumn id="11" name="Top URLs in Tweet in G5" dataDxfId="101"/>
    <tableColumn id="12" name="G5 Count" dataDxfId="100"/>
    <tableColumn id="13" name="Top URLs in Tweet in G6" dataDxfId="99"/>
    <tableColumn id="14" name="G6 Count" dataDxfId="98"/>
    <tableColumn id="15" name="Top URLs in Tweet in G7" dataDxfId="97"/>
    <tableColumn id="16" name="G7 Count" dataDxfId="96"/>
    <tableColumn id="17" name="Top URLs in Tweet in G8" dataDxfId="95"/>
    <tableColumn id="18" name="G8 Count" dataDxfId="94"/>
    <tableColumn id="19" name="Top URLs in Tweet in G9" dataDxfId="93"/>
    <tableColumn id="20" name="G9 Count" dataDxfId="92"/>
    <tableColumn id="21" name="Top URLs in Tweet in G10" dataDxfId="91"/>
    <tableColumn id="22" name="G10 Count" dataDxfId="90"/>
  </tableColumns>
  <tableStyleInfo name="NodeXL Table" showFirstColumn="0" showLastColumn="0" showRowStripes="1" showColumnStripes="0"/>
</table>
</file>

<file path=xl/tables/table41.xml><?xml version="1.0" encoding="utf-8"?>
<table xmlns="http://schemas.openxmlformats.org/spreadsheetml/2006/main" id="54" name="NetworkTopItems_2" displayName="NetworkTopItems_2" ref="A14:V24" totalsRowShown="0" headerRowDxfId="87" dataDxfId="86">
  <autoFilter ref="A14:V24"/>
  <tableColumns count="22">
    <tableColumn id="1" name="Top Hashtags in Tweet in Entire Graph" dataDxfId="85"/>
    <tableColumn id="2" name="Entire Graph Count" dataDxfId="84"/>
    <tableColumn id="3" name="Top Hashtags in Tweet in G1" dataDxfId="83"/>
    <tableColumn id="4" name="G1 Count" dataDxfId="82"/>
    <tableColumn id="5" name="Top Hashtags in Tweet in G2" dataDxfId="81"/>
    <tableColumn id="6" name="G2 Count" dataDxfId="80"/>
    <tableColumn id="7" name="Top Hashtags in Tweet in G3" dataDxfId="79"/>
    <tableColumn id="8" name="G3 Count" dataDxfId="78"/>
    <tableColumn id="9" name="Top Hashtags in Tweet in G4" dataDxfId="77"/>
    <tableColumn id="10" name="G4 Count" dataDxfId="76"/>
    <tableColumn id="11" name="Top Hashtags in Tweet in G5" dataDxfId="75"/>
    <tableColumn id="12" name="G5 Count" dataDxfId="74"/>
    <tableColumn id="13" name="Top Hashtags in Tweet in G6" dataDxfId="73"/>
    <tableColumn id="14" name="G6 Count" dataDxfId="72"/>
    <tableColumn id="15" name="Top Hashtags in Tweet in G7" dataDxfId="71"/>
    <tableColumn id="16" name="G7 Count" dataDxfId="70"/>
    <tableColumn id="17" name="Top Hashtags in Tweet in G8" dataDxfId="69"/>
    <tableColumn id="18" name="G8 Count" dataDxfId="68"/>
    <tableColumn id="19" name="Top Hashtags in Tweet in G9" dataDxfId="67"/>
    <tableColumn id="20" name="G9 Count" dataDxfId="66"/>
    <tableColumn id="21" name="Top Hashtags in Tweet in G10" dataDxfId="65"/>
    <tableColumn id="22" name="G10 Count" dataDxfId="64"/>
  </tableColumns>
  <tableStyleInfo name="NodeXL Table" showFirstColumn="0" showLastColumn="0" showRowStripes="1" showColumnStripes="0"/>
</table>
</file>

<file path=xl/tables/table42.xml><?xml version="1.0" encoding="utf-8"?>
<table xmlns="http://schemas.openxmlformats.org/spreadsheetml/2006/main" id="55" name="NetworkTopItems_3" displayName="NetworkTopItems_3" ref="A27:V37" totalsRowShown="0" headerRowDxfId="62" dataDxfId="61">
  <autoFilter ref="A27:V37"/>
  <tableColumns count="22">
    <tableColumn id="1" name="Top Words in Tweet in Entire Graph" dataDxfId="60"/>
    <tableColumn id="2" name="Entire Graph Count" dataDxfId="59"/>
    <tableColumn id="3" name="Top Words in Tweet in G1" dataDxfId="58"/>
    <tableColumn id="4" name="G1 Count" dataDxfId="57"/>
    <tableColumn id="5" name="Top Words in Tweet in G2" dataDxfId="56"/>
    <tableColumn id="6" name="G2 Count" dataDxfId="55"/>
    <tableColumn id="7" name="Top Words in Tweet in G3" dataDxfId="54"/>
    <tableColumn id="8" name="G3 Count" dataDxfId="53"/>
    <tableColumn id="9" name="Top Words in Tweet in G4" dataDxfId="52"/>
    <tableColumn id="10" name="G4 Count" dataDxfId="51"/>
    <tableColumn id="11" name="Top Words in Tweet in G5" dataDxfId="50"/>
    <tableColumn id="12" name="G5 Count" dataDxfId="49"/>
    <tableColumn id="13" name="Top Words in Tweet in G6" dataDxfId="48"/>
    <tableColumn id="14" name="G6 Count" dataDxfId="47"/>
    <tableColumn id="15" name="Top Words in Tweet in G7" dataDxfId="46"/>
    <tableColumn id="16" name="G7 Count" dataDxfId="45"/>
    <tableColumn id="17" name="Top Words in Tweet in G8" dataDxfId="44"/>
    <tableColumn id="18" name="G8 Count" dataDxfId="43"/>
    <tableColumn id="19" name="Top Words in Tweet in G9" dataDxfId="42"/>
    <tableColumn id="20" name="G9 Count" dataDxfId="41"/>
    <tableColumn id="21" name="Top Words in Tweet in G10" dataDxfId="40"/>
    <tableColumn id="22" name="G10 Count" dataDxfId="39"/>
  </tableColumns>
  <tableStyleInfo name="NodeXL Table" showFirstColumn="0" showLastColumn="0" showRowStripes="1" showColumnStripes="0"/>
</table>
</file>

<file path=xl/tables/table43.xml><?xml version="1.0" encoding="utf-8"?>
<table xmlns="http://schemas.openxmlformats.org/spreadsheetml/2006/main" id="56" name="NetworkTopItems_4" displayName="NetworkTopItems_4" ref="A40:V50" totalsRowShown="0" headerRowDxfId="37" dataDxfId="36">
  <autoFilter ref="A40:V50"/>
  <tableColumns count="22">
    <tableColumn id="1" name="Top Word Pairs in Tweet in Entire Graph" dataDxfId="35"/>
    <tableColumn id="2" name="Entire Graph Count" dataDxfId="34"/>
    <tableColumn id="3" name="Top Word Pairs in Tweet in G1" dataDxfId="33"/>
    <tableColumn id="4" name="G1 Count" dataDxfId="32"/>
    <tableColumn id="5" name="Top Word Pairs in Tweet in G2" dataDxfId="31"/>
    <tableColumn id="6" name="G2 Count" dataDxfId="30"/>
    <tableColumn id="7" name="Top Word Pairs in Tweet in G3" dataDxfId="29"/>
    <tableColumn id="8" name="G3 Count" dataDxfId="28"/>
    <tableColumn id="9" name="Top Word Pairs in Tweet in G4" dataDxfId="27"/>
    <tableColumn id="10" name="G4 Count" dataDxfId="26"/>
    <tableColumn id="11" name="Top Word Pairs in Tweet in G5" dataDxfId="25"/>
    <tableColumn id="12" name="G5 Count" dataDxfId="24"/>
    <tableColumn id="13" name="Top Word Pairs in Tweet in G6" dataDxfId="23"/>
    <tableColumn id="14" name="G6 Count" dataDxfId="22"/>
    <tableColumn id="15" name="Top Word Pairs in Tweet in G7" dataDxfId="21"/>
    <tableColumn id="16" name="G7 Count" dataDxfId="20"/>
    <tableColumn id="17" name="Top Word Pairs in Tweet in G8" dataDxfId="19"/>
    <tableColumn id="18" name="G8 Count" dataDxfId="18"/>
    <tableColumn id="19" name="Top Word Pairs in Tweet in G9" dataDxfId="17"/>
    <tableColumn id="20" name="G9 Count" dataDxfId="16"/>
    <tableColumn id="21" name="Top Word Pairs in Tweet in G10" dataDxfId="15"/>
    <tableColumn id="22" name="G10 Count" dataDxfId="14"/>
  </tableColumns>
  <tableStyleInfo name="NodeXL Table"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4"/>
    <tableColumn id="2" name="Value" dataDxfId="1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36" totalsRowShown="0" headerRowDxfId="391">
  <autoFilter ref="J1:K3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table" Target="../tables/table25.xml" /><Relationship Id="rId3" Type="http://schemas.openxmlformats.org/officeDocument/2006/relationships/table" Target="../tables/table26.xml" /><Relationship Id="rId4" Type="http://schemas.openxmlformats.org/officeDocument/2006/relationships/table" Target="../tables/table27.xml" /><Relationship Id="rId5" Type="http://schemas.openxmlformats.org/officeDocument/2006/relationships/table" Target="../tables/table28.xml" /><Relationship Id="rId6" Type="http://schemas.openxmlformats.org/officeDocument/2006/relationships/table" Target="../tables/table29.xml" /><Relationship Id="rId7" Type="http://schemas.openxmlformats.org/officeDocument/2006/relationships/table" Target="../tables/table30.xml" /><Relationship Id="rId8" Type="http://schemas.openxmlformats.org/officeDocument/2006/relationships/table" Target="../tables/table31.xml" /><Relationship Id="rId9" Type="http://schemas.openxmlformats.org/officeDocument/2006/relationships/table" Target="../tables/table32.xml" /><Relationship Id="rId10" Type="http://schemas.openxmlformats.org/officeDocument/2006/relationships/table" Target="../tables/table33.xml" /><Relationship Id="rId11" Type="http://schemas.openxmlformats.org/officeDocument/2006/relationships/table" Target="../tables/table34.xml" /><Relationship Id="rId12" Type="http://schemas.openxmlformats.org/officeDocument/2006/relationships/table" Target="../tables/table35.xml" /><Relationship Id="rId13" Type="http://schemas.openxmlformats.org/officeDocument/2006/relationships/table" Target="../tables/table36.xml" /><Relationship Id="rId14" Type="http://schemas.openxmlformats.org/officeDocument/2006/relationships/table" Target="../tables/table3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38.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39.xml" /></Relationships>
</file>

<file path=xl/worksheets/_rels/sheet1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hyperlink" Target="https://nasional.sindonews.com/read/621377/12/daftarkan-gugatan-presidential-threshold-ke-mk-refly-harun-dan-ferry-juliantono-salam-nol-persen-1638875579" TargetMode="External" /><Relationship Id="rId12" Type="http://schemas.openxmlformats.org/officeDocument/2006/relationships/hyperlink" Target="https://nasional.tempo.co/read/1612284/survei-charta-politika-ganjar-unggul-telak-715-persen-di-jawa-tengah-puan-nol-koma#.YtH7LVDzC6U.twitter" TargetMode="External" /><Relationship Id="rId13" Type="http://schemas.openxmlformats.org/officeDocument/2006/relationships/hyperlink" Target="http://dlvr.it/SdWj9q" TargetMode="External" /><Relationship Id="rId14" Type="http://schemas.openxmlformats.org/officeDocument/2006/relationships/hyperlink" Target="https://www.dailynewsindonesia.com/news/daftarkan-gugatan-pt-ke-mk-refly-harun-salam-nol-persen/" TargetMode="External" /><Relationship Id="rId15" Type="http://schemas.openxmlformats.org/officeDocument/2006/relationships/hyperlink" Target="https://travel.detik.com/travel-news/d-5934657/turis-perdana-ke-bali-dibiayai-kemenparekraf-garuda-dan-hotel" TargetMode="External" /><Relationship Id="rId16" Type="http://schemas.openxmlformats.org/officeDocument/2006/relationships/hyperlink" Target="https://bit.ly/3rJk6To" TargetMode="External" /><Relationship Id="rId17" Type="http://schemas.openxmlformats.org/officeDocument/2006/relationships/hyperlink" Target="https://keuangannews.id/jokowi-disebut-melakukan-kkn-terang-terangan-gibran-dan-bobby-nasution-disinggung/" TargetMode="External" /><Relationship Id="rId18" Type="http://schemas.openxmlformats.org/officeDocument/2006/relationships/hyperlink" Target="https://cnnindonesia.com/ekonomi/20220214160006-532-759025/ri-turun-jadi-negara-penghasilan-menengah-bawah-bi-salahkan-pandemi?utm_source=twitter&amp;utm_medium=oa&amp;utm_content=cnnindonesia&amp;utm_campaign=cmssocmed" TargetMode="External" /><Relationship Id="rId19" Type="http://schemas.openxmlformats.org/officeDocument/2006/relationships/hyperlink" Target="https://news.detik.com/berita/d-5860072/survei-arci-804-masyarakat-jatim-ingin-presidential-threshold-0" TargetMode="External" /><Relationship Id="rId20" Type="http://schemas.openxmlformats.org/officeDocument/2006/relationships/hyperlink" Target="https://chng.it/XpRxqxpy" TargetMode="External" /><Relationship Id="rId21" Type="http://schemas.openxmlformats.org/officeDocument/2006/relationships/hyperlink" Target="https://chng.it/K4pfyT7w" TargetMode="External" /><Relationship Id="rId22" Type="http://schemas.openxmlformats.org/officeDocument/2006/relationships/hyperlink" Target="https://youtu.be/X5TlArCX_Mo" TargetMode="External" /><Relationship Id="rId23" Type="http://schemas.openxmlformats.org/officeDocument/2006/relationships/table" Target="../tables/table40.xml" /><Relationship Id="rId24" Type="http://schemas.openxmlformats.org/officeDocument/2006/relationships/table" Target="../tables/table41.xml" /><Relationship Id="rId25" Type="http://schemas.openxmlformats.org/officeDocument/2006/relationships/table" Target="../tables/table42.xml" /><Relationship Id="rId26" Type="http://schemas.openxmlformats.org/officeDocument/2006/relationships/table" Target="../tables/table4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88"/>
  <sheetViews>
    <sheetView workbookViewId="0" topLeftCell="A1">
      <pane xSplit="2" ySplit="2" topLeftCell="BT267" activePane="bottomRight" state="frozen"/>
      <selection pane="topRight" activeCell="C1" sqref="C1"/>
      <selection pane="bottomLeft" activeCell="A3" sqref="A3"/>
      <selection pane="bottomRight" activeCell="A68" sqref="A68:BU68"/>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REPLACE(INDEX(GroupVertices[Group],MATCH("~"&amp;Edges[[#This Row],[Vertex 1]],GroupVertices[Vertex],0)),1,1,"")</f>
        <v>25</v>
      </c>
      <c r="BU3" s="112" t="str">
        <f>REPLACE(INDEX(GroupVertices[Group],MATCH("~"&amp;Edges[[#This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REPLACE(INDEX(GroupVertices[Group],MATCH("~"&amp;Edges[[#This Row],[Vertex 1]],GroupVertices[Vertex],0)),1,1,"")</f>
        <v>3</v>
      </c>
      <c r="BU4" s="112" t="str">
        <f>REPLACE(INDEX(GroupVertices[Group],MATCH("~"&amp;Edges[[#This Row],[Vertex 2]],GroupVertices[Vertex],0)),1,1,"")</f>
        <v>3</v>
      </c>
    </row>
    <row r="5" spans="1:73" ht="45">
      <c r="A5" s="59" t="s">
        <v>223</v>
      </c>
      <c r="B5" s="59" t="s">
        <v>344</v>
      </c>
      <c r="C5" s="60"/>
      <c r="D5" s="61"/>
      <c r="E5" s="62"/>
      <c r="F5" s="63"/>
      <c r="G5" s="60"/>
      <c r="H5" s="64"/>
      <c r="I5" s="65"/>
      <c r="J5" s="65"/>
      <c r="K5" s="30" t="s">
        <v>65</v>
      </c>
      <c r="L5" s="72">
        <v>5</v>
      </c>
      <c r="M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REPLACE(INDEX(GroupVertices[Group],MATCH("~"&amp;Edges[[#This Row],[Vertex 1]],GroupVertices[Vertex],0)),1,1,"")</f>
        <v>6</v>
      </c>
      <c r="BU5" s="112" t="str">
        <f>REPLACE(INDEX(GroupVertices[Group],MATCH("~"&amp;Edges[[#This Row],[Vertex 2]],GroupVertices[Vertex],0)),1,1,"")</f>
        <v>6</v>
      </c>
    </row>
    <row r="6" spans="1:73" ht="15">
      <c r="A6" s="59" t="s">
        <v>224</v>
      </c>
      <c r="B6" s="59" t="s">
        <v>345</v>
      </c>
      <c r="C6" s="60"/>
      <c r="D6" s="61"/>
      <c r="E6" s="62"/>
      <c r="F6" s="63"/>
      <c r="G6" s="60"/>
      <c r="H6" s="64"/>
      <c r="I6" s="65"/>
      <c r="J6" s="65"/>
      <c r="K6" s="30" t="s">
        <v>65</v>
      </c>
      <c r="L6" s="72">
        <v>6</v>
      </c>
      <c r="M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REPLACE(INDEX(GroupVertices[Group],MATCH("~"&amp;Edges[[#This Row],[Vertex 1]],GroupVertices[Vertex],0)),1,1,"")</f>
        <v>16</v>
      </c>
      <c r="BU6" s="112" t="str">
        <f>REPLACE(INDEX(GroupVertices[Group],MATCH("~"&amp;Edges[[#This Row],[Vertex 2]],GroupVertices[Vertex],0)),1,1,"")</f>
        <v>16</v>
      </c>
    </row>
    <row r="7" spans="1:73" ht="15">
      <c r="A7" s="59" t="s">
        <v>225</v>
      </c>
      <c r="B7" s="59" t="s">
        <v>346</v>
      </c>
      <c r="C7" s="60"/>
      <c r="D7" s="61"/>
      <c r="E7" s="62"/>
      <c r="F7" s="63"/>
      <c r="G7" s="60"/>
      <c r="H7" s="64"/>
      <c r="I7" s="65"/>
      <c r="J7" s="65"/>
      <c r="K7" s="30" t="s">
        <v>65</v>
      </c>
      <c r="L7" s="72">
        <v>7</v>
      </c>
      <c r="M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REPLACE(INDEX(GroupVertices[Group],MATCH("~"&amp;Edges[[#This Row],[Vertex 1]],GroupVertices[Vertex],0)),1,1,"")</f>
        <v>26</v>
      </c>
      <c r="BU7" s="112" t="str">
        <f>REPLACE(INDEX(GroupVertices[Group],MATCH("~"&amp;Edges[[#This Row],[Vertex 2]],GroupVertices[Vertex],0)),1,1,"")</f>
        <v>26</v>
      </c>
    </row>
    <row r="8" spans="1:73" ht="15">
      <c r="A8" s="59" t="s">
        <v>226</v>
      </c>
      <c r="B8" s="59" t="s">
        <v>347</v>
      </c>
      <c r="C8" s="60"/>
      <c r="D8" s="61"/>
      <c r="E8" s="62"/>
      <c r="F8" s="63"/>
      <c r="G8" s="60"/>
      <c r="H8" s="64"/>
      <c r="I8" s="65"/>
      <c r="J8" s="65"/>
      <c r="K8" s="30" t="s">
        <v>65</v>
      </c>
      <c r="L8" s="72">
        <v>8</v>
      </c>
      <c r="M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REPLACE(INDEX(GroupVertices[Group],MATCH("~"&amp;Edges[[#This Row],[Vertex 1]],GroupVertices[Vertex],0)),1,1,"")</f>
        <v>8</v>
      </c>
      <c r="BU8" s="112" t="str">
        <f>REPLACE(INDEX(GroupVertices[Group],MATCH("~"&amp;Edges[[#This Row],[Vertex 2]],GroupVertices[Vertex],0)),1,1,"")</f>
        <v>8</v>
      </c>
    </row>
    <row r="9" spans="1:73" ht="15">
      <c r="A9" s="59" t="s">
        <v>226</v>
      </c>
      <c r="B9" s="59" t="s">
        <v>348</v>
      </c>
      <c r="C9" s="60"/>
      <c r="D9" s="61"/>
      <c r="E9" s="62"/>
      <c r="F9" s="63"/>
      <c r="G9" s="60"/>
      <c r="H9" s="64"/>
      <c r="I9" s="65"/>
      <c r="J9" s="65"/>
      <c r="K9" s="30" t="s">
        <v>65</v>
      </c>
      <c r="L9" s="72">
        <v>9</v>
      </c>
      <c r="M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 s="67"/>
      <c r="O9" t="s">
        <v>482</v>
      </c>
      <c r="P9" s="73">
        <v>44571.939351851855</v>
      </c>
      <c r="Q9" t="s">
        <v>490</v>
      </c>
      <c r="R9">
        <v>0</v>
      </c>
      <c r="S9">
        <v>0</v>
      </c>
      <c r="T9">
        <v>0</v>
      </c>
      <c r="U9">
        <v>0</v>
      </c>
      <c r="Z9" t="s">
        <v>726</v>
      </c>
      <c r="AC9" s="74" t="s">
        <v>787</v>
      </c>
      <c r="AD9" t="s">
        <v>794</v>
      </c>
      <c r="AE9" s="75" t="str">
        <f>HYPERLINK("https://twitter.com/akalseh18332460/status/1480668945568788480")</f>
        <v>https://twitter.com/akalseh18332460/status/1480668945568788480</v>
      </c>
      <c r="AF9" s="73">
        <v>44571.939351851855</v>
      </c>
      <c r="AG9" s="77">
        <v>44571</v>
      </c>
      <c r="AH9" s="74" t="s">
        <v>804</v>
      </c>
      <c r="AV9" s="75" t="str">
        <f>HYPERLINK("https://abs.twimg.com/sticky/default_profile_images/default_profile_normal.png")</f>
        <v>https://abs.twimg.com/sticky/default_profile_images/default_profile_normal.png</v>
      </c>
      <c r="AW9" s="74" t="s">
        <v>1025</v>
      </c>
      <c r="AX9" s="74" t="s">
        <v>1231</v>
      </c>
      <c r="AY9" s="74" t="s">
        <v>1315</v>
      </c>
      <c r="AZ9" s="74" t="s">
        <v>1231</v>
      </c>
      <c r="BA9" s="74" t="s">
        <v>1384</v>
      </c>
      <c r="BB9" s="74" t="s">
        <v>1384</v>
      </c>
      <c r="BC9" s="74" t="s">
        <v>1231</v>
      </c>
      <c r="BD9" s="74" t="s">
        <v>1406</v>
      </c>
      <c r="BJ9" s="44">
        <v>3</v>
      </c>
      <c r="BK9" s="45">
        <v>60</v>
      </c>
      <c r="BL9" s="44">
        <v>0</v>
      </c>
      <c r="BM9" s="45">
        <v>0</v>
      </c>
      <c r="BN9" s="44">
        <v>0</v>
      </c>
      <c r="BO9" s="45">
        <v>0</v>
      </c>
      <c r="BP9" s="44">
        <v>2</v>
      </c>
      <c r="BQ9" s="45">
        <v>40</v>
      </c>
      <c r="BR9" s="44">
        <v>5</v>
      </c>
      <c r="BS9">
        <v>1</v>
      </c>
      <c r="BT9" s="112" t="str">
        <f>REPLACE(INDEX(GroupVertices[Group],MATCH("~"&amp;Edges[[#This Row],[Vertex 1]],GroupVertices[Vertex],0)),1,1,"")</f>
        <v>8</v>
      </c>
      <c r="BU9" s="112" t="str">
        <f>REPLACE(INDEX(GroupVertices[Group],MATCH("~"&amp;Edges[[#This Row],[Vertex 2]],GroupVertices[Vertex],0)),1,1,"")</f>
        <v>8</v>
      </c>
    </row>
    <row r="10" spans="1:73" ht="15">
      <c r="A10" s="59" t="s">
        <v>226</v>
      </c>
      <c r="B10" s="59" t="s">
        <v>349</v>
      </c>
      <c r="C10" s="60"/>
      <c r="D10" s="61"/>
      <c r="E10" s="62"/>
      <c r="F10" s="63"/>
      <c r="G10" s="60"/>
      <c r="H10" s="64"/>
      <c r="I10" s="65"/>
      <c r="J10" s="65"/>
      <c r="K10" s="30" t="s">
        <v>65</v>
      </c>
      <c r="L10" s="72">
        <v>10</v>
      </c>
      <c r="M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 s="67"/>
      <c r="O10" t="s">
        <v>482</v>
      </c>
      <c r="P10" s="73">
        <v>44571.93622685185</v>
      </c>
      <c r="Q10" t="s">
        <v>491</v>
      </c>
      <c r="R10">
        <v>1</v>
      </c>
      <c r="S10">
        <v>2</v>
      </c>
      <c r="T10">
        <v>1</v>
      </c>
      <c r="U10">
        <v>0</v>
      </c>
      <c r="Z10" t="s">
        <v>338</v>
      </c>
      <c r="AC10" s="74" t="s">
        <v>787</v>
      </c>
      <c r="AD10" t="s">
        <v>794</v>
      </c>
      <c r="AE10" s="75" t="str">
        <f>HYPERLINK("https://twitter.com/akalseh18332460/status/1480667810476920832")</f>
        <v>https://twitter.com/akalseh18332460/status/1480667810476920832</v>
      </c>
      <c r="AF10" s="73">
        <v>44571.93622685185</v>
      </c>
      <c r="AG10" s="77">
        <v>44571</v>
      </c>
      <c r="AH10" s="74" t="s">
        <v>805</v>
      </c>
      <c r="AV10" s="75" t="str">
        <f>HYPERLINK("https://abs.twimg.com/sticky/default_profile_images/default_profile_normal.png")</f>
        <v>https://abs.twimg.com/sticky/default_profile_images/default_profile_normal.png</v>
      </c>
      <c r="AW10" s="74" t="s">
        <v>1026</v>
      </c>
      <c r="AX10" s="74" t="s">
        <v>1232</v>
      </c>
      <c r="AY10" s="74" t="s">
        <v>1316</v>
      </c>
      <c r="AZ10" s="74" t="s">
        <v>1386</v>
      </c>
      <c r="BA10" s="74" t="s">
        <v>1384</v>
      </c>
      <c r="BB10" s="74" t="s">
        <v>1384</v>
      </c>
      <c r="BC10" s="74" t="s">
        <v>1386</v>
      </c>
      <c r="BD10" s="74" t="s">
        <v>1406</v>
      </c>
      <c r="BJ10" s="44">
        <v>3</v>
      </c>
      <c r="BK10" s="45">
        <v>42.857142857142854</v>
      </c>
      <c r="BL10" s="44">
        <v>0</v>
      </c>
      <c r="BM10" s="45">
        <v>0</v>
      </c>
      <c r="BN10" s="44">
        <v>0</v>
      </c>
      <c r="BO10" s="45">
        <v>0</v>
      </c>
      <c r="BP10" s="44">
        <v>4</v>
      </c>
      <c r="BQ10" s="45">
        <v>57.142857142857146</v>
      </c>
      <c r="BR10" s="44">
        <v>7</v>
      </c>
      <c r="BS10">
        <v>1</v>
      </c>
      <c r="BT10" s="112" t="str">
        <f>REPLACE(INDEX(GroupVertices[Group],MATCH("~"&amp;Edges[[#This Row],[Vertex 1]],GroupVertices[Vertex],0)),1,1,"")</f>
        <v>8</v>
      </c>
      <c r="BU10" s="112" t="str">
        <f>REPLACE(INDEX(GroupVertices[Group],MATCH("~"&amp;Edges[[#This Row],[Vertex 2]],GroupVertices[Vertex],0)),1,1,"")</f>
        <v>8</v>
      </c>
    </row>
    <row r="11" spans="1:73" ht="15">
      <c r="A11" s="59" t="s">
        <v>226</v>
      </c>
      <c r="B11" s="59" t="s">
        <v>350</v>
      </c>
      <c r="C11" s="60"/>
      <c r="D11" s="61"/>
      <c r="E11" s="62"/>
      <c r="F11" s="63"/>
      <c r="G11" s="60"/>
      <c r="H11" s="64"/>
      <c r="I11" s="65"/>
      <c r="J11" s="65"/>
      <c r="K11" s="30" t="s">
        <v>65</v>
      </c>
      <c r="L11" s="72">
        <v>11</v>
      </c>
      <c r="M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 s="67"/>
      <c r="O11" t="s">
        <v>482</v>
      </c>
      <c r="P11" s="73">
        <v>44571.92932870371</v>
      </c>
      <c r="Q11" t="s">
        <v>492</v>
      </c>
      <c r="R11">
        <v>0</v>
      </c>
      <c r="S11">
        <v>0</v>
      </c>
      <c r="T11">
        <v>0</v>
      </c>
      <c r="U11">
        <v>0</v>
      </c>
      <c r="Z11" t="s">
        <v>350</v>
      </c>
      <c r="AC11" s="74" t="s">
        <v>787</v>
      </c>
      <c r="AD11" t="s">
        <v>794</v>
      </c>
      <c r="AE11" s="75" t="str">
        <f>HYPERLINK("https://twitter.com/akalseh18332460/status/1480665313251246081")</f>
        <v>https://twitter.com/akalseh18332460/status/1480665313251246081</v>
      </c>
      <c r="AF11" s="73">
        <v>44571.92932870371</v>
      </c>
      <c r="AG11" s="77">
        <v>44571</v>
      </c>
      <c r="AH11" s="74" t="s">
        <v>806</v>
      </c>
      <c r="AV11" s="75" t="str">
        <f>HYPERLINK("https://abs.twimg.com/sticky/default_profile_images/default_profile_normal.png")</f>
        <v>https://abs.twimg.com/sticky/default_profile_images/default_profile_normal.png</v>
      </c>
      <c r="AW11" s="74" t="s">
        <v>1027</v>
      </c>
      <c r="AX11" s="74" t="s">
        <v>1233</v>
      </c>
      <c r="AY11" s="74" t="s">
        <v>1317</v>
      </c>
      <c r="AZ11" s="74" t="s">
        <v>1233</v>
      </c>
      <c r="BA11" s="74" t="s">
        <v>1384</v>
      </c>
      <c r="BB11" s="74" t="s">
        <v>1384</v>
      </c>
      <c r="BC11" s="74" t="s">
        <v>1233</v>
      </c>
      <c r="BD11" s="74" t="s">
        <v>1406</v>
      </c>
      <c r="BJ11" s="44">
        <v>3</v>
      </c>
      <c r="BK11" s="45">
        <v>60</v>
      </c>
      <c r="BL11" s="44">
        <v>0</v>
      </c>
      <c r="BM11" s="45">
        <v>0</v>
      </c>
      <c r="BN11" s="44">
        <v>0</v>
      </c>
      <c r="BO11" s="45">
        <v>0</v>
      </c>
      <c r="BP11" s="44">
        <v>2</v>
      </c>
      <c r="BQ11" s="45">
        <v>40</v>
      </c>
      <c r="BR11" s="44">
        <v>5</v>
      </c>
      <c r="BS11">
        <v>1</v>
      </c>
      <c r="BT11" s="112" t="str">
        <f>REPLACE(INDEX(GroupVertices[Group],MATCH("~"&amp;Edges[[#This Row],[Vertex 1]],GroupVertices[Vertex],0)),1,1,"")</f>
        <v>8</v>
      </c>
      <c r="BU11" s="112" t="str">
        <f>REPLACE(INDEX(GroupVertices[Group],MATCH("~"&amp;Edges[[#This Row],[Vertex 2]],GroupVertices[Vertex],0)),1,1,"")</f>
        <v>8</v>
      </c>
    </row>
    <row r="12" spans="1:73" ht="15">
      <c r="A12" s="59" t="s">
        <v>226</v>
      </c>
      <c r="B12" s="59" t="s">
        <v>335</v>
      </c>
      <c r="C12" s="60"/>
      <c r="D12" s="61"/>
      <c r="E12" s="62"/>
      <c r="F12" s="63"/>
      <c r="G12" s="60"/>
      <c r="H12" s="64"/>
      <c r="I12" s="65"/>
      <c r="J12" s="65"/>
      <c r="K12" s="30" t="s">
        <v>65</v>
      </c>
      <c r="L12" s="72">
        <v>12</v>
      </c>
      <c r="M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 s="67"/>
      <c r="O12" t="s">
        <v>484</v>
      </c>
      <c r="P12" s="73">
        <v>44572.0325</v>
      </c>
      <c r="Q12" t="s">
        <v>493</v>
      </c>
      <c r="R12">
        <v>0</v>
      </c>
      <c r="S12">
        <v>0</v>
      </c>
      <c r="T12">
        <v>0</v>
      </c>
      <c r="U12">
        <v>0</v>
      </c>
      <c r="W12" s="74" t="s">
        <v>681</v>
      </c>
      <c r="AC12" s="74" t="s">
        <v>787</v>
      </c>
      <c r="AD12" t="s">
        <v>794</v>
      </c>
      <c r="AE12" s="75" t="str">
        <f>HYPERLINK("https://twitter.com/akalseh18332460/status/1480702701193228289")</f>
        <v>https://twitter.com/akalseh18332460/status/1480702701193228289</v>
      </c>
      <c r="AF12" s="73">
        <v>44572.0325</v>
      </c>
      <c r="AG12" s="77">
        <v>44572</v>
      </c>
      <c r="AH12" s="74" t="s">
        <v>807</v>
      </c>
      <c r="AV12" s="75" t="str">
        <f>HYPERLINK("https://abs.twimg.com/sticky/default_profile_images/default_profile_normal.png")</f>
        <v>https://abs.twimg.com/sticky/default_profile_images/default_profile_normal.png</v>
      </c>
      <c r="AW12" s="74" t="s">
        <v>1028</v>
      </c>
      <c r="AX12" s="74" t="s">
        <v>1028</v>
      </c>
      <c r="AZ12" s="74" t="s">
        <v>1384</v>
      </c>
      <c r="BA12" s="74" t="s">
        <v>1206</v>
      </c>
      <c r="BB12" s="74" t="s">
        <v>1384</v>
      </c>
      <c r="BC12" s="74" t="s">
        <v>1206</v>
      </c>
      <c r="BD12" s="74" t="s">
        <v>1406</v>
      </c>
      <c r="BJ12" s="44">
        <v>3</v>
      </c>
      <c r="BK12" s="45">
        <v>60</v>
      </c>
      <c r="BL12" s="44">
        <v>0</v>
      </c>
      <c r="BM12" s="45">
        <v>0</v>
      </c>
      <c r="BN12" s="44">
        <v>0</v>
      </c>
      <c r="BO12" s="45">
        <v>0</v>
      </c>
      <c r="BP12" s="44">
        <v>2</v>
      </c>
      <c r="BQ12" s="45">
        <v>40</v>
      </c>
      <c r="BR12" s="44">
        <v>5</v>
      </c>
      <c r="BS12">
        <v>8</v>
      </c>
      <c r="BT12" s="112" t="str">
        <f>REPLACE(INDEX(GroupVertices[Group],MATCH("~"&amp;Edges[[#This Row],[Vertex 1]],GroupVertices[Vertex],0)),1,1,"")</f>
        <v>8</v>
      </c>
      <c r="BU12" s="112" t="str">
        <f>REPLACE(INDEX(GroupVertices[Group],MATCH("~"&amp;Edges[[#This Row],[Vertex 2]],GroupVertices[Vertex],0)),1,1,"")</f>
        <v>5</v>
      </c>
    </row>
    <row r="13" spans="1:73" ht="15">
      <c r="A13" s="59" t="s">
        <v>226</v>
      </c>
      <c r="B13" s="59" t="s">
        <v>328</v>
      </c>
      <c r="C13" s="60"/>
      <c r="D13" s="61"/>
      <c r="E13" s="62"/>
      <c r="F13" s="63"/>
      <c r="G13" s="60"/>
      <c r="H13" s="64"/>
      <c r="I13" s="65"/>
      <c r="J13" s="65"/>
      <c r="K13" s="30" t="s">
        <v>65</v>
      </c>
      <c r="L13" s="72">
        <v>13</v>
      </c>
      <c r="M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 s="67"/>
      <c r="O13" t="s">
        <v>482</v>
      </c>
      <c r="P13" s="73">
        <v>44571.927766203706</v>
      </c>
      <c r="Q13" t="s">
        <v>494</v>
      </c>
      <c r="R13">
        <v>0</v>
      </c>
      <c r="S13">
        <v>0</v>
      </c>
      <c r="T13">
        <v>0</v>
      </c>
      <c r="U13">
        <v>0</v>
      </c>
      <c r="Z13" t="s">
        <v>328</v>
      </c>
      <c r="AC13" s="74" t="s">
        <v>787</v>
      </c>
      <c r="AD13" t="s">
        <v>794</v>
      </c>
      <c r="AE13" s="75" t="str">
        <f>HYPERLINK("https://twitter.com/akalseh18332460/status/1480664747326406659")</f>
        <v>https://twitter.com/akalseh18332460/status/1480664747326406659</v>
      </c>
      <c r="AF13" s="73">
        <v>44571.927766203706</v>
      </c>
      <c r="AG13" s="77">
        <v>44571</v>
      </c>
      <c r="AH13" s="74" t="s">
        <v>808</v>
      </c>
      <c r="AV13" s="75" t="str">
        <f>HYPERLINK("https://abs.twimg.com/sticky/default_profile_images/default_profile_normal.png")</f>
        <v>https://abs.twimg.com/sticky/default_profile_images/default_profile_normal.png</v>
      </c>
      <c r="AW13" s="74" t="s">
        <v>1029</v>
      </c>
      <c r="AX13" s="74" t="s">
        <v>1234</v>
      </c>
      <c r="AY13" s="74" t="s">
        <v>1318</v>
      </c>
      <c r="AZ13" s="74" t="s">
        <v>1234</v>
      </c>
      <c r="BA13" s="74" t="s">
        <v>1384</v>
      </c>
      <c r="BB13" s="74" t="s">
        <v>1384</v>
      </c>
      <c r="BC13" s="74" t="s">
        <v>1234</v>
      </c>
      <c r="BD13" s="74" t="s">
        <v>1406</v>
      </c>
      <c r="BJ13" s="44">
        <v>3</v>
      </c>
      <c r="BK13" s="45">
        <v>60</v>
      </c>
      <c r="BL13" s="44">
        <v>0</v>
      </c>
      <c r="BM13" s="45">
        <v>0</v>
      </c>
      <c r="BN13" s="44">
        <v>0</v>
      </c>
      <c r="BO13" s="45">
        <v>0</v>
      </c>
      <c r="BP13" s="44">
        <v>2</v>
      </c>
      <c r="BQ13" s="45">
        <v>40</v>
      </c>
      <c r="BR13" s="44">
        <v>5</v>
      </c>
      <c r="BS13">
        <v>1</v>
      </c>
      <c r="BT13" s="112" t="str">
        <f>REPLACE(INDEX(GroupVertices[Group],MATCH("~"&amp;Edges[[#This Row],[Vertex 1]],GroupVertices[Vertex],0)),1,1,"")</f>
        <v>8</v>
      </c>
      <c r="BU13" s="112" t="str">
        <f>REPLACE(INDEX(GroupVertices[Group],MATCH("~"&amp;Edges[[#This Row],[Vertex 2]],GroupVertices[Vertex],0)),1,1,"")</f>
        <v>19</v>
      </c>
    </row>
    <row r="14" spans="1:73" ht="15">
      <c r="A14" s="59" t="s">
        <v>226</v>
      </c>
      <c r="B14" s="59" t="s">
        <v>338</v>
      </c>
      <c r="C14" s="60"/>
      <c r="D14" s="61"/>
      <c r="E14" s="62"/>
      <c r="F14" s="63"/>
      <c r="G14" s="60"/>
      <c r="H14" s="64"/>
      <c r="I14" s="65"/>
      <c r="J14" s="65"/>
      <c r="K14" s="30" t="s">
        <v>65</v>
      </c>
      <c r="L14" s="72">
        <v>14</v>
      </c>
      <c r="M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 s="67"/>
      <c r="O14" t="s">
        <v>482</v>
      </c>
      <c r="P14" s="73">
        <v>44573.96865740741</v>
      </c>
      <c r="Q14" t="s">
        <v>495</v>
      </c>
      <c r="R14">
        <v>0</v>
      </c>
      <c r="S14">
        <v>0</v>
      </c>
      <c r="T14">
        <v>0</v>
      </c>
      <c r="U14">
        <v>0</v>
      </c>
      <c r="Z14" t="s">
        <v>338</v>
      </c>
      <c r="AC14" s="74" t="s">
        <v>787</v>
      </c>
      <c r="AD14" t="s">
        <v>794</v>
      </c>
      <c r="AE14" s="75" t="str">
        <f>HYPERLINK("https://twitter.com/akalseh18332460/status/1481404339281608705")</f>
        <v>https://twitter.com/akalseh18332460/status/1481404339281608705</v>
      </c>
      <c r="AF14" s="73">
        <v>44573.96865740741</v>
      </c>
      <c r="AG14" s="77">
        <v>44573</v>
      </c>
      <c r="AH14" s="74" t="s">
        <v>809</v>
      </c>
      <c r="AV14" s="75" t="str">
        <f>HYPERLINK("https://abs.twimg.com/sticky/default_profile_images/default_profile_normal.png")</f>
        <v>https://abs.twimg.com/sticky/default_profile_images/default_profile_normal.png</v>
      </c>
      <c r="AW14" s="74" t="s">
        <v>1030</v>
      </c>
      <c r="AX14" s="74" t="s">
        <v>1235</v>
      </c>
      <c r="AY14" s="74" t="s">
        <v>1320</v>
      </c>
      <c r="AZ14" s="74" t="s">
        <v>1235</v>
      </c>
      <c r="BA14" s="74" t="s">
        <v>1384</v>
      </c>
      <c r="BB14" s="74" t="s">
        <v>1384</v>
      </c>
      <c r="BC14" s="74" t="s">
        <v>1235</v>
      </c>
      <c r="BD14" s="74" t="s">
        <v>1406</v>
      </c>
      <c r="BJ14" s="44">
        <v>3</v>
      </c>
      <c r="BK14" s="45">
        <v>60</v>
      </c>
      <c r="BL14" s="44">
        <v>0</v>
      </c>
      <c r="BM14" s="45">
        <v>0</v>
      </c>
      <c r="BN14" s="44">
        <v>0</v>
      </c>
      <c r="BO14" s="45">
        <v>0</v>
      </c>
      <c r="BP14" s="44">
        <v>2</v>
      </c>
      <c r="BQ14" s="45">
        <v>40</v>
      </c>
      <c r="BR14" s="44">
        <v>5</v>
      </c>
      <c r="BS14">
        <v>1</v>
      </c>
      <c r="BT14" s="112" t="str">
        <f>REPLACE(INDEX(GroupVertices[Group],MATCH("~"&amp;Edges[[#This Row],[Vertex 1]],GroupVertices[Vertex],0)),1,1,"")</f>
        <v>8</v>
      </c>
      <c r="BU14" s="112" t="str">
        <f>REPLACE(INDEX(GroupVertices[Group],MATCH("~"&amp;Edges[[#This Row],[Vertex 2]],GroupVertices[Vertex],0)),1,1,"")</f>
        <v>8</v>
      </c>
    </row>
    <row r="15" spans="1:73" ht="15">
      <c r="A15" s="59" t="s">
        <v>227</v>
      </c>
      <c r="B15" s="59" t="s">
        <v>227</v>
      </c>
      <c r="C15" s="60"/>
      <c r="D15" s="61"/>
      <c r="E15" s="62"/>
      <c r="F15" s="63"/>
      <c r="G15" s="60"/>
      <c r="H15" s="64"/>
      <c r="I15" s="65"/>
      <c r="J15" s="65"/>
      <c r="K15" s="30" t="s">
        <v>65</v>
      </c>
      <c r="L15" s="72">
        <v>15</v>
      </c>
      <c r="M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 s="67"/>
      <c r="O15" t="s">
        <v>177</v>
      </c>
      <c r="P15" s="73">
        <v>44538.00181712963</v>
      </c>
      <c r="Q15" t="s">
        <v>496</v>
      </c>
      <c r="R15">
        <v>0</v>
      </c>
      <c r="S15">
        <v>0</v>
      </c>
      <c r="T15">
        <v>0</v>
      </c>
      <c r="U15">
        <v>0</v>
      </c>
      <c r="X15"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5" t="s">
        <v>709</v>
      </c>
      <c r="AC15" s="74" t="s">
        <v>786</v>
      </c>
      <c r="AD15" t="s">
        <v>794</v>
      </c>
      <c r="AE15" s="75" t="str">
        <f>HYPERLINK("https://twitter.com/pungpurwanto/status/1468370393182261250")</f>
        <v>https://twitter.com/pungpurwanto/status/1468370393182261250</v>
      </c>
      <c r="AF15" s="73">
        <v>44538.00181712963</v>
      </c>
      <c r="AG15" s="77">
        <v>44538</v>
      </c>
      <c r="AH15" s="74" t="s">
        <v>810</v>
      </c>
      <c r="AI15" t="b">
        <v>0</v>
      </c>
      <c r="AV15" s="75" t="str">
        <f>HYPERLINK("https://pbs.twimg.com/profile_images/1421653739430051840/0NoPDUNr_normal.jpg")</f>
        <v>https://pbs.twimg.com/profile_images/1421653739430051840/0NoPDUNr_normal.jpg</v>
      </c>
      <c r="AW15" s="74" t="s">
        <v>1031</v>
      </c>
      <c r="AX15" s="74" t="s">
        <v>1031</v>
      </c>
      <c r="AZ15" s="74" t="s">
        <v>1384</v>
      </c>
      <c r="BA15" s="74" t="s">
        <v>1384</v>
      </c>
      <c r="BB15" s="74" t="s">
        <v>1384</v>
      </c>
      <c r="BC15" s="74" t="s">
        <v>1031</v>
      </c>
      <c r="BD15">
        <v>131800607</v>
      </c>
      <c r="BJ15" s="44">
        <v>3</v>
      </c>
      <c r="BK15" s="45">
        <v>21.428571428571427</v>
      </c>
      <c r="BL15" s="44">
        <v>1</v>
      </c>
      <c r="BM15" s="45">
        <v>7.142857142857143</v>
      </c>
      <c r="BN15" s="44">
        <v>0</v>
      </c>
      <c r="BO15" s="45">
        <v>0</v>
      </c>
      <c r="BP15" s="44">
        <v>10</v>
      </c>
      <c r="BQ15" s="45">
        <v>71.42857142857143</v>
      </c>
      <c r="BR15" s="44">
        <v>14</v>
      </c>
      <c r="BS15">
        <v>1</v>
      </c>
      <c r="BT15" s="112" t="str">
        <f>REPLACE(INDEX(GroupVertices[Group],MATCH("~"&amp;Edges[[#This Row],[Vertex 1]],GroupVertices[Vertex],0)),1,1,"")</f>
        <v>3</v>
      </c>
      <c r="BU15" s="112" t="str">
        <f>REPLACE(INDEX(GroupVertices[Group],MATCH("~"&amp;Edges[[#This Row],[Vertex 2]],GroupVertices[Vertex],0)),1,1,"")</f>
        <v>3</v>
      </c>
    </row>
    <row r="16" spans="1:73" ht="15">
      <c r="A16" s="59" t="s">
        <v>228</v>
      </c>
      <c r="B16" s="59" t="s">
        <v>228</v>
      </c>
      <c r="C16" s="60"/>
      <c r="D16" s="61"/>
      <c r="E16" s="62"/>
      <c r="F16" s="63"/>
      <c r="G16" s="60"/>
      <c r="H16" s="64"/>
      <c r="I16" s="65"/>
      <c r="J16" s="65"/>
      <c r="K16" s="30" t="s">
        <v>65</v>
      </c>
      <c r="L16" s="72">
        <v>16</v>
      </c>
      <c r="M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 s="67"/>
      <c r="O16" t="s">
        <v>177</v>
      </c>
      <c r="P16" s="73">
        <v>44669.487962962965</v>
      </c>
      <c r="Q16" t="s">
        <v>497</v>
      </c>
      <c r="R16">
        <v>0</v>
      </c>
      <c r="S16">
        <v>0</v>
      </c>
      <c r="T16">
        <v>0</v>
      </c>
      <c r="U16">
        <v>0</v>
      </c>
      <c r="AC16" s="74" t="s">
        <v>787</v>
      </c>
      <c r="AD16" t="s">
        <v>794</v>
      </c>
      <c r="AE16" s="75" t="str">
        <f>HYPERLINK("https://twitter.com/parahyanganpost/status/1516019376289632261")</f>
        <v>https://twitter.com/parahyanganpost/status/1516019376289632261</v>
      </c>
      <c r="AF16" s="73">
        <v>44669.487962962965</v>
      </c>
      <c r="AG16" s="77">
        <v>44669</v>
      </c>
      <c r="AH16" s="74" t="s">
        <v>811</v>
      </c>
      <c r="AV16" s="75" t="str">
        <f>HYPERLINK("https://pbs.twimg.com/profile_images/528933545570361344/jyXh9Ea1_normal.jpeg")</f>
        <v>https://pbs.twimg.com/profile_images/528933545570361344/jyXh9Ea1_normal.jpeg</v>
      </c>
      <c r="AW16" s="74" t="s">
        <v>1032</v>
      </c>
      <c r="AX16" s="74" t="s">
        <v>1032</v>
      </c>
      <c r="AZ16" s="74" t="s">
        <v>1384</v>
      </c>
      <c r="BA16" s="74" t="s">
        <v>1384</v>
      </c>
      <c r="BB16" s="74" t="s">
        <v>1384</v>
      </c>
      <c r="BC16" s="74" t="s">
        <v>1032</v>
      </c>
      <c r="BD16">
        <v>276847477</v>
      </c>
      <c r="BJ16" s="44">
        <v>3</v>
      </c>
      <c r="BK16" s="45">
        <v>7.894736842105263</v>
      </c>
      <c r="BL16" s="44">
        <v>0</v>
      </c>
      <c r="BM16" s="45">
        <v>0</v>
      </c>
      <c r="BN16" s="44">
        <v>0</v>
      </c>
      <c r="BO16" s="45">
        <v>0</v>
      </c>
      <c r="BP16" s="44">
        <v>35</v>
      </c>
      <c r="BQ16" s="45">
        <v>92.10526315789474</v>
      </c>
      <c r="BR16" s="44">
        <v>38</v>
      </c>
      <c r="BS16">
        <v>1</v>
      </c>
      <c r="BT16" s="112" t="str">
        <f>REPLACE(INDEX(GroupVertices[Group],MATCH("~"&amp;Edges[[#This Row],[Vertex 1]],GroupVertices[Vertex],0)),1,1,"")</f>
        <v>3</v>
      </c>
      <c r="BU16" s="112" t="str">
        <f>REPLACE(INDEX(GroupVertices[Group],MATCH("~"&amp;Edges[[#This Row],[Vertex 2]],GroupVertices[Vertex],0)),1,1,"")</f>
        <v>3</v>
      </c>
    </row>
    <row r="17" spans="1:73" ht="15">
      <c r="A17" s="59" t="s">
        <v>229</v>
      </c>
      <c r="B17" s="59" t="s">
        <v>334</v>
      </c>
      <c r="C17" s="60"/>
      <c r="D17" s="61"/>
      <c r="E17" s="62"/>
      <c r="F17" s="63"/>
      <c r="G17" s="60"/>
      <c r="H17" s="64"/>
      <c r="I17" s="65"/>
      <c r="J17" s="65"/>
      <c r="K17" s="30" t="s">
        <v>65</v>
      </c>
      <c r="L17" s="72">
        <v>17</v>
      </c>
      <c r="M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 s="67"/>
      <c r="O17" t="s">
        <v>484</v>
      </c>
      <c r="P17" s="73">
        <v>44579.07087962963</v>
      </c>
      <c r="Q17" t="s">
        <v>498</v>
      </c>
      <c r="R17">
        <v>0</v>
      </c>
      <c r="S17">
        <v>0</v>
      </c>
      <c r="T17">
        <v>0</v>
      </c>
      <c r="U17">
        <v>0</v>
      </c>
      <c r="W17" s="74" t="s">
        <v>682</v>
      </c>
      <c r="AC17" s="74" t="s">
        <v>787</v>
      </c>
      <c r="AD17" t="s">
        <v>795</v>
      </c>
      <c r="AE17" s="75" t="str">
        <f>HYPERLINK("https://twitter.com/kopirasamantap/status/1483253324170158082")</f>
        <v>https://twitter.com/kopirasamantap/status/1483253324170158082</v>
      </c>
      <c r="AF17" s="73">
        <v>44579.07087962963</v>
      </c>
      <c r="AG17" s="77">
        <v>44579</v>
      </c>
      <c r="AH17" s="74" t="s">
        <v>812</v>
      </c>
      <c r="AV17" s="75" t="str">
        <f>HYPERLINK("https://pbs.twimg.com/profile_images/1579725028299780096/SyIJa330_normal.jpg")</f>
        <v>https://pbs.twimg.com/profile_images/1579725028299780096/SyIJa330_normal.jpg</v>
      </c>
      <c r="AW17" s="74" t="s">
        <v>1033</v>
      </c>
      <c r="AX17" s="74" t="s">
        <v>1033</v>
      </c>
      <c r="AZ17" s="74" t="s">
        <v>1384</v>
      </c>
      <c r="BA17" s="74" t="s">
        <v>1399</v>
      </c>
      <c r="BB17" s="74" t="s">
        <v>1384</v>
      </c>
      <c r="BC17" s="74" t="s">
        <v>1399</v>
      </c>
      <c r="BD17">
        <v>893021132</v>
      </c>
      <c r="BJ17" s="44">
        <v>0</v>
      </c>
      <c r="BK17" s="45">
        <v>0</v>
      </c>
      <c r="BL17" s="44">
        <v>0</v>
      </c>
      <c r="BM17" s="45">
        <v>0</v>
      </c>
      <c r="BN17" s="44">
        <v>0</v>
      </c>
      <c r="BO17" s="45">
        <v>0</v>
      </c>
      <c r="BP17" s="44">
        <v>1</v>
      </c>
      <c r="BQ17" s="45">
        <v>100</v>
      </c>
      <c r="BR17" s="44">
        <v>1</v>
      </c>
      <c r="BS17">
        <v>1</v>
      </c>
      <c r="BT17" s="112" t="str">
        <f>REPLACE(INDEX(GroupVertices[Group],MATCH("~"&amp;Edges[[#This Row],[Vertex 1]],GroupVertices[Vertex],0)),1,1,"")</f>
        <v>4</v>
      </c>
      <c r="BU17" s="112" t="str">
        <f>REPLACE(INDEX(GroupVertices[Group],MATCH("~"&amp;Edges[[#This Row],[Vertex 2]],GroupVertices[Vertex],0)),1,1,"")</f>
        <v>4</v>
      </c>
    </row>
    <row r="18" spans="1:73" ht="15">
      <c r="A18" s="59" t="s">
        <v>230</v>
      </c>
      <c r="B18" s="59" t="s">
        <v>351</v>
      </c>
      <c r="C18" s="60"/>
      <c r="D18" s="61"/>
      <c r="E18" s="62"/>
      <c r="F18" s="63"/>
      <c r="G18" s="60"/>
      <c r="H18" s="64"/>
      <c r="I18" s="65"/>
      <c r="J18" s="65"/>
      <c r="K18" s="30" t="s">
        <v>65</v>
      </c>
      <c r="L18" s="72">
        <v>18</v>
      </c>
      <c r="M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8" s="67"/>
      <c r="O18" t="s">
        <v>482</v>
      </c>
      <c r="P18" s="73">
        <v>44903.18849537037</v>
      </c>
      <c r="Q18" t="s">
        <v>499</v>
      </c>
      <c r="R18">
        <v>0</v>
      </c>
      <c r="S18">
        <v>0</v>
      </c>
      <c r="T18">
        <v>0</v>
      </c>
      <c r="U18">
        <v>0</v>
      </c>
      <c r="Z18" t="s">
        <v>351</v>
      </c>
      <c r="AC18" s="74" t="s">
        <v>787</v>
      </c>
      <c r="AD18" t="s">
        <v>794</v>
      </c>
      <c r="AE18" s="75" t="str">
        <f>HYPERLINK("https://twitter.com/ahmadga18785105/status/1600709612583677952")</f>
        <v>https://twitter.com/ahmadga18785105/status/1600709612583677952</v>
      </c>
      <c r="AF18" s="73">
        <v>44903.18849537037</v>
      </c>
      <c r="AG18" s="77">
        <v>44903</v>
      </c>
      <c r="AH18" s="74" t="s">
        <v>813</v>
      </c>
      <c r="AV18" s="75" t="str">
        <f>HYPERLINK("https://pbs.twimg.com/profile_images/1535821403328741376/-JZH9ind_normal.png")</f>
        <v>https://pbs.twimg.com/profile_images/1535821403328741376/-JZH9ind_normal.png</v>
      </c>
      <c r="AW18" s="74" t="s">
        <v>1034</v>
      </c>
      <c r="AX18" s="74" t="s">
        <v>1236</v>
      </c>
      <c r="AY18" s="74" t="s">
        <v>1321</v>
      </c>
      <c r="AZ18" s="74" t="s">
        <v>1236</v>
      </c>
      <c r="BA18" s="74" t="s">
        <v>1384</v>
      </c>
      <c r="BB18" s="74" t="s">
        <v>1384</v>
      </c>
      <c r="BC18" s="74" t="s">
        <v>1236</v>
      </c>
      <c r="BD18" s="74" t="s">
        <v>1407</v>
      </c>
      <c r="BJ18" s="44">
        <v>3</v>
      </c>
      <c r="BK18" s="45">
        <v>20</v>
      </c>
      <c r="BL18" s="44">
        <v>1</v>
      </c>
      <c r="BM18" s="45">
        <v>6.666666666666667</v>
      </c>
      <c r="BN18" s="44">
        <v>0</v>
      </c>
      <c r="BO18" s="45">
        <v>0</v>
      </c>
      <c r="BP18" s="44">
        <v>11</v>
      </c>
      <c r="BQ18" s="45">
        <v>73.33333333333333</v>
      </c>
      <c r="BR18" s="44">
        <v>15</v>
      </c>
      <c r="BS18">
        <v>1</v>
      </c>
      <c r="BT18" s="112" t="str">
        <f>REPLACE(INDEX(GroupVertices[Group],MATCH("~"&amp;Edges[[#This Row],[Vertex 1]],GroupVertices[Vertex],0)),1,1,"")</f>
        <v>12</v>
      </c>
      <c r="BU18" s="112" t="str">
        <f>REPLACE(INDEX(GroupVertices[Group],MATCH("~"&amp;Edges[[#This Row],[Vertex 2]],GroupVertices[Vertex],0)),1,1,"")</f>
        <v>12</v>
      </c>
    </row>
    <row r="19" spans="1:73" ht="15">
      <c r="A19" s="59" t="s">
        <v>230</v>
      </c>
      <c r="B19" s="59" t="s">
        <v>352</v>
      </c>
      <c r="C19" s="60"/>
      <c r="D19" s="61"/>
      <c r="E19" s="62"/>
      <c r="F19" s="63"/>
      <c r="G19" s="60"/>
      <c r="H19" s="64"/>
      <c r="I19" s="65"/>
      <c r="J19" s="65"/>
      <c r="K19" s="30" t="s">
        <v>65</v>
      </c>
      <c r="L19" s="72">
        <v>19</v>
      </c>
      <c r="M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9" s="67"/>
      <c r="O19" t="s">
        <v>482</v>
      </c>
      <c r="P19" s="73">
        <v>44871.48694444444</v>
      </c>
      <c r="Q19" t="s">
        <v>500</v>
      </c>
      <c r="R19">
        <v>0</v>
      </c>
      <c r="S19">
        <v>1</v>
      </c>
      <c r="T19">
        <v>0</v>
      </c>
      <c r="U19">
        <v>0</v>
      </c>
      <c r="Z19" t="s">
        <v>727</v>
      </c>
      <c r="AC19" s="74" t="s">
        <v>787</v>
      </c>
      <c r="AD19" t="s">
        <v>794</v>
      </c>
      <c r="AE19" s="75" t="str">
        <f>HYPERLINK("https://twitter.com/ahmadga18785105/status/1589221355366801410")</f>
        <v>https://twitter.com/ahmadga18785105/status/1589221355366801410</v>
      </c>
      <c r="AF19" s="73">
        <v>44871.48694444444</v>
      </c>
      <c r="AG19" s="77">
        <v>44871</v>
      </c>
      <c r="AH19" s="74" t="s">
        <v>814</v>
      </c>
      <c r="AV19" s="75" t="str">
        <f>HYPERLINK("https://pbs.twimg.com/profile_images/1535821403328741376/-JZH9ind_normal.png")</f>
        <v>https://pbs.twimg.com/profile_images/1535821403328741376/-JZH9ind_normal.png</v>
      </c>
      <c r="AW19" s="74" t="s">
        <v>1035</v>
      </c>
      <c r="AX19" s="74" t="s">
        <v>1237</v>
      </c>
      <c r="AY19" s="74" t="s">
        <v>1322</v>
      </c>
      <c r="AZ19" s="74" t="s">
        <v>1387</v>
      </c>
      <c r="BA19" s="74" t="s">
        <v>1384</v>
      </c>
      <c r="BB19" s="74" t="s">
        <v>1384</v>
      </c>
      <c r="BC19" s="74" t="s">
        <v>1387</v>
      </c>
      <c r="BD19" s="74" t="s">
        <v>1407</v>
      </c>
      <c r="BJ19" s="44">
        <v>6</v>
      </c>
      <c r="BK19" s="45">
        <v>16.666666666666668</v>
      </c>
      <c r="BL19" s="44">
        <v>4</v>
      </c>
      <c r="BM19" s="45">
        <v>11.11111111111111</v>
      </c>
      <c r="BN19" s="44">
        <v>0</v>
      </c>
      <c r="BO19" s="45">
        <v>0</v>
      </c>
      <c r="BP19" s="44">
        <v>26</v>
      </c>
      <c r="BQ19" s="45">
        <v>72.22222222222223</v>
      </c>
      <c r="BR19" s="44">
        <v>36</v>
      </c>
      <c r="BS19">
        <v>1</v>
      </c>
      <c r="BT19" s="112" t="str">
        <f>REPLACE(INDEX(GroupVertices[Group],MATCH("~"&amp;Edges[[#This Row],[Vertex 1]],GroupVertices[Vertex],0)),1,1,"")</f>
        <v>12</v>
      </c>
      <c r="BU19" s="112" t="str">
        <f>REPLACE(INDEX(GroupVertices[Group],MATCH("~"&amp;Edges[[#This Row],[Vertex 2]],GroupVertices[Vertex],0)),1,1,"")</f>
        <v>12</v>
      </c>
    </row>
    <row r="20" spans="1:73" ht="15">
      <c r="A20" s="59" t="s">
        <v>230</v>
      </c>
      <c r="B20" s="59" t="s">
        <v>288</v>
      </c>
      <c r="C20" s="60"/>
      <c r="D20" s="61"/>
      <c r="E20" s="62"/>
      <c r="F20" s="63"/>
      <c r="G20" s="60"/>
      <c r="H20" s="64"/>
      <c r="I20" s="65"/>
      <c r="J20" s="65"/>
      <c r="K20" s="30" t="s">
        <v>65</v>
      </c>
      <c r="L20" s="72">
        <v>20</v>
      </c>
      <c r="M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 s="67"/>
      <c r="O20" t="s">
        <v>482</v>
      </c>
      <c r="P20" s="73">
        <v>44915.81348379629</v>
      </c>
      <c r="Q20" t="s">
        <v>501</v>
      </c>
      <c r="R20">
        <v>0</v>
      </c>
      <c r="S20">
        <v>0</v>
      </c>
      <c r="T20">
        <v>0</v>
      </c>
      <c r="U20">
        <v>0</v>
      </c>
      <c r="V20">
        <v>8</v>
      </c>
      <c r="Z20" t="s">
        <v>288</v>
      </c>
      <c r="AC20" s="74" t="s">
        <v>787</v>
      </c>
      <c r="AD20" t="s">
        <v>794</v>
      </c>
      <c r="AE20" s="75" t="str">
        <f>HYPERLINK("https://twitter.com/ahmadga18785105/status/1605284758900342784")</f>
        <v>https://twitter.com/ahmadga18785105/status/1605284758900342784</v>
      </c>
      <c r="AF20" s="73">
        <v>44915.81348379629</v>
      </c>
      <c r="AG20" s="77">
        <v>44915</v>
      </c>
      <c r="AH20" s="74" t="s">
        <v>815</v>
      </c>
      <c r="AV20" s="75" t="str">
        <f>HYPERLINK("https://pbs.twimg.com/profile_images/1535821403328741376/-JZH9ind_normal.png")</f>
        <v>https://pbs.twimg.com/profile_images/1535821403328741376/-JZH9ind_normal.png</v>
      </c>
      <c r="AW20" s="74" t="s">
        <v>1036</v>
      </c>
      <c r="AX20" s="74" t="s">
        <v>1238</v>
      </c>
      <c r="AY20" s="74" t="s">
        <v>1323</v>
      </c>
      <c r="AZ20" s="74" t="s">
        <v>1238</v>
      </c>
      <c r="BA20" s="74" t="s">
        <v>1384</v>
      </c>
      <c r="BB20" s="74" t="s">
        <v>1384</v>
      </c>
      <c r="BC20" s="74" t="s">
        <v>1238</v>
      </c>
      <c r="BD20" s="74" t="s">
        <v>1407</v>
      </c>
      <c r="BJ20" s="44">
        <v>8</v>
      </c>
      <c r="BK20" s="45">
        <v>30.76923076923077</v>
      </c>
      <c r="BL20" s="44">
        <v>5</v>
      </c>
      <c r="BM20" s="45">
        <v>19.23076923076923</v>
      </c>
      <c r="BN20" s="44">
        <v>0</v>
      </c>
      <c r="BO20" s="45">
        <v>0</v>
      </c>
      <c r="BP20" s="44">
        <v>13</v>
      </c>
      <c r="BQ20" s="45">
        <v>50</v>
      </c>
      <c r="BR20" s="44">
        <v>26</v>
      </c>
      <c r="BS20">
        <v>1</v>
      </c>
      <c r="BT20" s="112" t="str">
        <f>REPLACE(INDEX(GroupVertices[Group],MATCH("~"&amp;Edges[[#This Row],[Vertex 1]],GroupVertices[Vertex],0)),1,1,"")</f>
        <v>12</v>
      </c>
      <c r="BU20" s="112" t="str">
        <f>REPLACE(INDEX(GroupVertices[Group],MATCH("~"&amp;Edges[[#This Row],[Vertex 2]],GroupVertices[Vertex],0)),1,1,"")</f>
        <v>12</v>
      </c>
    </row>
    <row r="21" spans="1:73" ht="15">
      <c r="A21" s="59" t="s">
        <v>230</v>
      </c>
      <c r="B21" s="59" t="s">
        <v>339</v>
      </c>
      <c r="C21" s="60"/>
      <c r="D21" s="61"/>
      <c r="E21" s="62"/>
      <c r="F21" s="63"/>
      <c r="G21" s="60"/>
      <c r="H21" s="64"/>
      <c r="I21" s="65"/>
      <c r="J21" s="65"/>
      <c r="K21" s="30" t="s">
        <v>65</v>
      </c>
      <c r="L21" s="72">
        <v>21</v>
      </c>
      <c r="M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 s="67"/>
      <c r="O21" t="s">
        <v>482</v>
      </c>
      <c r="P21" s="73">
        <v>44918.82469907407</v>
      </c>
      <c r="Q21" t="s">
        <v>502</v>
      </c>
      <c r="R21">
        <v>0</v>
      </c>
      <c r="S21">
        <v>0</v>
      </c>
      <c r="T21">
        <v>0</v>
      </c>
      <c r="U21">
        <v>0</v>
      </c>
      <c r="V21">
        <v>10</v>
      </c>
      <c r="Z21" t="s">
        <v>339</v>
      </c>
      <c r="AC21" s="74" t="s">
        <v>787</v>
      </c>
      <c r="AD21" t="s">
        <v>794</v>
      </c>
      <c r="AE21" s="75" t="str">
        <f>HYPERLINK("https://twitter.com/ahmadga18785105/status/1606375983422242816")</f>
        <v>https://twitter.com/ahmadga18785105/status/1606375983422242816</v>
      </c>
      <c r="AF21" s="73">
        <v>44918.82469907407</v>
      </c>
      <c r="AG21" s="77">
        <v>44918</v>
      </c>
      <c r="AH21" s="74" t="s">
        <v>816</v>
      </c>
      <c r="AV21" s="75" t="str">
        <f>HYPERLINK("https://pbs.twimg.com/profile_images/1535821403328741376/-JZH9ind_normal.png")</f>
        <v>https://pbs.twimg.com/profile_images/1535821403328741376/-JZH9ind_normal.png</v>
      </c>
      <c r="AW21" s="74" t="s">
        <v>1037</v>
      </c>
      <c r="AX21" s="74" t="s">
        <v>1239</v>
      </c>
      <c r="AY21" s="74" t="s">
        <v>1324</v>
      </c>
      <c r="AZ21" s="74" t="s">
        <v>1239</v>
      </c>
      <c r="BA21" s="74" t="s">
        <v>1384</v>
      </c>
      <c r="BB21" s="74" t="s">
        <v>1384</v>
      </c>
      <c r="BC21" s="74" t="s">
        <v>1239</v>
      </c>
      <c r="BD21" s="74" t="s">
        <v>1407</v>
      </c>
      <c r="BJ21" s="44">
        <v>6</v>
      </c>
      <c r="BK21" s="45">
        <v>60</v>
      </c>
      <c r="BL21" s="44">
        <v>0</v>
      </c>
      <c r="BM21" s="45">
        <v>0</v>
      </c>
      <c r="BN21" s="44">
        <v>0</v>
      </c>
      <c r="BO21" s="45">
        <v>0</v>
      </c>
      <c r="BP21" s="44">
        <v>4</v>
      </c>
      <c r="BQ21" s="45">
        <v>40</v>
      </c>
      <c r="BR21" s="44">
        <v>10</v>
      </c>
      <c r="BS21">
        <v>8</v>
      </c>
      <c r="BT21" s="112" t="str">
        <f>REPLACE(INDEX(GroupVertices[Group],MATCH("~"&amp;Edges[[#This Row],[Vertex 1]],GroupVertices[Vertex],0)),1,1,"")</f>
        <v>12</v>
      </c>
      <c r="BU21" s="112" t="str">
        <f>REPLACE(INDEX(GroupVertices[Group],MATCH("~"&amp;Edges[[#This Row],[Vertex 2]],GroupVertices[Vertex],0)),1,1,"")</f>
        <v>12</v>
      </c>
    </row>
    <row r="22" spans="1:73" ht="15">
      <c r="A22" s="59" t="s">
        <v>230</v>
      </c>
      <c r="B22" s="59" t="s">
        <v>333</v>
      </c>
      <c r="C22" s="60"/>
      <c r="D22" s="61"/>
      <c r="E22" s="62"/>
      <c r="F22" s="63"/>
      <c r="G22" s="60"/>
      <c r="H22" s="64"/>
      <c r="I22" s="65"/>
      <c r="J22" s="65"/>
      <c r="K22" s="30" t="s">
        <v>65</v>
      </c>
      <c r="L22" s="72">
        <v>22</v>
      </c>
      <c r="M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 s="67"/>
      <c r="O22" t="s">
        <v>482</v>
      </c>
      <c r="P22" s="73">
        <v>44921.87310185185</v>
      </c>
      <c r="Q22" t="s">
        <v>503</v>
      </c>
      <c r="R22">
        <v>0</v>
      </c>
      <c r="S22">
        <v>0</v>
      </c>
      <c r="T22">
        <v>0</v>
      </c>
      <c r="U22">
        <v>0</v>
      </c>
      <c r="V22">
        <v>15</v>
      </c>
      <c r="Z22" t="s">
        <v>333</v>
      </c>
      <c r="AC22" s="74" t="s">
        <v>787</v>
      </c>
      <c r="AD22" t="s">
        <v>794</v>
      </c>
      <c r="AE22" s="75" t="str">
        <f>HYPERLINK("https://twitter.com/ahmadga18785105/status/1607480690165313536")</f>
        <v>https://twitter.com/ahmadga18785105/status/1607480690165313536</v>
      </c>
      <c r="AF22" s="73">
        <v>44921.87310185185</v>
      </c>
      <c r="AG22" s="77">
        <v>44921</v>
      </c>
      <c r="AH22" s="74" t="s">
        <v>817</v>
      </c>
      <c r="AV22" s="75" t="str">
        <f>HYPERLINK("https://pbs.twimg.com/profile_images/1535821403328741376/-JZH9ind_normal.png")</f>
        <v>https://pbs.twimg.com/profile_images/1535821403328741376/-JZH9ind_normal.png</v>
      </c>
      <c r="AW22" s="74" t="s">
        <v>1038</v>
      </c>
      <c r="AX22" s="74" t="s">
        <v>1240</v>
      </c>
      <c r="AY22" s="74" t="s">
        <v>1325</v>
      </c>
      <c r="AZ22" s="74" t="s">
        <v>1240</v>
      </c>
      <c r="BA22" s="74" t="s">
        <v>1384</v>
      </c>
      <c r="BB22" s="74" t="s">
        <v>1384</v>
      </c>
      <c r="BC22" s="74" t="s">
        <v>1240</v>
      </c>
      <c r="BD22" s="74" t="s">
        <v>1407</v>
      </c>
      <c r="BJ22" s="44">
        <v>7</v>
      </c>
      <c r="BK22" s="45">
        <v>29.166666666666668</v>
      </c>
      <c r="BL22" s="44">
        <v>3</v>
      </c>
      <c r="BM22" s="45">
        <v>12.5</v>
      </c>
      <c r="BN22" s="44">
        <v>0</v>
      </c>
      <c r="BO22" s="45">
        <v>0</v>
      </c>
      <c r="BP22" s="44">
        <v>14</v>
      </c>
      <c r="BQ22" s="45">
        <v>58.333333333333336</v>
      </c>
      <c r="BR22" s="44">
        <v>24</v>
      </c>
      <c r="BS22">
        <v>1</v>
      </c>
      <c r="BT22" s="112" t="str">
        <f>REPLACE(INDEX(GroupVertices[Group],MATCH("~"&amp;Edges[[#This Row],[Vertex 1]],GroupVertices[Vertex],0)),1,1,"")</f>
        <v>12</v>
      </c>
      <c r="BU22" s="112" t="str">
        <f>REPLACE(INDEX(GroupVertices[Group],MATCH("~"&amp;Edges[[#This Row],[Vertex 2]],GroupVertices[Vertex],0)),1,1,"")</f>
        <v>12</v>
      </c>
    </row>
    <row r="23" spans="1:73" ht="15">
      <c r="A23" s="59" t="s">
        <v>231</v>
      </c>
      <c r="B23" s="59" t="s">
        <v>231</v>
      </c>
      <c r="C23" s="60"/>
      <c r="D23" s="61"/>
      <c r="E23" s="62"/>
      <c r="F23" s="63"/>
      <c r="G23" s="60"/>
      <c r="H23" s="64"/>
      <c r="I23" s="65"/>
      <c r="J23" s="65"/>
      <c r="K23" s="30" t="s">
        <v>65</v>
      </c>
      <c r="L23" s="72">
        <v>23</v>
      </c>
      <c r="M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 s="67"/>
      <c r="O23" t="s">
        <v>177</v>
      </c>
      <c r="P23" s="73">
        <v>44779.72949074074</v>
      </c>
      <c r="Q23" t="s">
        <v>504</v>
      </c>
      <c r="R23">
        <v>0</v>
      </c>
      <c r="S23">
        <v>0</v>
      </c>
      <c r="T23">
        <v>0</v>
      </c>
      <c r="U23">
        <v>0</v>
      </c>
      <c r="AC23" s="74" t="s">
        <v>788</v>
      </c>
      <c r="AD23" t="s">
        <v>794</v>
      </c>
      <c r="AE23" s="75" t="str">
        <f>HYPERLINK("https://twitter.com/bve_kairi/status/1555969567276601346")</f>
        <v>https://twitter.com/bve_kairi/status/1555969567276601346</v>
      </c>
      <c r="AF23" s="73">
        <v>44779.72949074074</v>
      </c>
      <c r="AG23" s="77">
        <v>44779</v>
      </c>
      <c r="AH23" s="74" t="s">
        <v>818</v>
      </c>
      <c r="AV23" s="75" t="str">
        <f>HYPERLINK("https://pbs.twimg.com/profile_images/1530390158822232064/IEoHz1fi_normal.jpg")</f>
        <v>https://pbs.twimg.com/profile_images/1530390158822232064/IEoHz1fi_normal.jpg</v>
      </c>
      <c r="AW23" s="74" t="s">
        <v>1039</v>
      </c>
      <c r="AX23" s="74" t="s">
        <v>1039</v>
      </c>
      <c r="AZ23" s="74" t="s">
        <v>1384</v>
      </c>
      <c r="BA23" s="74" t="s">
        <v>1384</v>
      </c>
      <c r="BB23" s="74" t="s">
        <v>1384</v>
      </c>
      <c r="BC23" s="74" t="s">
        <v>1039</v>
      </c>
      <c r="BD23" s="74" t="s">
        <v>1408</v>
      </c>
      <c r="BJ23" s="44">
        <v>3</v>
      </c>
      <c r="BK23" s="45">
        <v>75</v>
      </c>
      <c r="BL23" s="44">
        <v>0</v>
      </c>
      <c r="BM23" s="45">
        <v>0</v>
      </c>
      <c r="BN23" s="44">
        <v>0</v>
      </c>
      <c r="BO23" s="45">
        <v>0</v>
      </c>
      <c r="BP23" s="44">
        <v>1</v>
      </c>
      <c r="BQ23" s="45">
        <v>25</v>
      </c>
      <c r="BR23" s="44">
        <v>4</v>
      </c>
      <c r="BS23">
        <v>1</v>
      </c>
      <c r="BT23" s="112" t="str">
        <f>REPLACE(INDEX(GroupVertices[Group],MATCH("~"&amp;Edges[[#This Row],[Vertex 1]],GroupVertices[Vertex],0)),1,1,"")</f>
        <v>3</v>
      </c>
      <c r="BU23" s="112" t="str">
        <f>REPLACE(INDEX(GroupVertices[Group],MATCH("~"&amp;Edges[[#This Row],[Vertex 2]],GroupVertices[Vertex],0)),1,1,"")</f>
        <v>3</v>
      </c>
    </row>
    <row r="24" spans="1:73" ht="15">
      <c r="A24" s="59" t="s">
        <v>232</v>
      </c>
      <c r="B24" s="59" t="s">
        <v>232</v>
      </c>
      <c r="C24" s="60"/>
      <c r="D24" s="61"/>
      <c r="E24" s="62"/>
      <c r="F24" s="63"/>
      <c r="G24" s="60"/>
      <c r="H24" s="64"/>
      <c r="I24" s="65"/>
      <c r="J24" s="65"/>
      <c r="K24" s="30" t="s">
        <v>65</v>
      </c>
      <c r="L24" s="72">
        <v>24</v>
      </c>
      <c r="M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 s="67"/>
      <c r="O24" t="s">
        <v>177</v>
      </c>
      <c r="P24" s="73">
        <v>44894.02885416667</v>
      </c>
      <c r="Q24" t="s">
        <v>505</v>
      </c>
      <c r="R24">
        <v>0</v>
      </c>
      <c r="S24">
        <v>0</v>
      </c>
      <c r="T24">
        <v>0</v>
      </c>
      <c r="U24">
        <v>0</v>
      </c>
      <c r="X24" s="75" t="str">
        <f>HYPERLINK("http://dlvr.it/SdWj9q")</f>
        <v>http://dlvr.it/SdWj9q</v>
      </c>
      <c r="Y24" t="s">
        <v>710</v>
      </c>
      <c r="AC24" s="74" t="s">
        <v>710</v>
      </c>
      <c r="AD24" t="s">
        <v>794</v>
      </c>
      <c r="AE24" s="75" t="str">
        <f>HYPERLINK("https://twitter.com/rustrijateng/status/1597390272089948160")</f>
        <v>https://twitter.com/rustrijateng/status/1597390272089948160</v>
      </c>
      <c r="AF24" s="73">
        <v>44894.02885416667</v>
      </c>
      <c r="AG24" s="77">
        <v>44894</v>
      </c>
      <c r="AH24" s="74" t="s">
        <v>819</v>
      </c>
      <c r="AI24" t="b">
        <v>0</v>
      </c>
      <c r="AV24" s="75" t="str">
        <f>HYPERLINK("https://pbs.twimg.com/profile_images/428988226846457856/B0fdn-5S_normal.jpeg")</f>
        <v>https://pbs.twimg.com/profile_images/428988226846457856/B0fdn-5S_normal.jpeg</v>
      </c>
      <c r="AW24" s="74" t="s">
        <v>1040</v>
      </c>
      <c r="AX24" s="74" t="s">
        <v>1040</v>
      </c>
      <c r="AZ24" s="74" t="s">
        <v>1384</v>
      </c>
      <c r="BA24" s="74" t="s">
        <v>1384</v>
      </c>
      <c r="BB24" s="74" t="s">
        <v>1384</v>
      </c>
      <c r="BC24" s="74" t="s">
        <v>1040</v>
      </c>
      <c r="BD24">
        <v>577255692</v>
      </c>
      <c r="BJ24" s="44">
        <v>3</v>
      </c>
      <c r="BK24" s="45">
        <v>25</v>
      </c>
      <c r="BL24" s="44">
        <v>0</v>
      </c>
      <c r="BM24" s="45">
        <v>0</v>
      </c>
      <c r="BN24" s="44">
        <v>0</v>
      </c>
      <c r="BO24" s="45">
        <v>0</v>
      </c>
      <c r="BP24" s="44">
        <v>9</v>
      </c>
      <c r="BQ24" s="45">
        <v>75</v>
      </c>
      <c r="BR24" s="44">
        <v>12</v>
      </c>
      <c r="BS24">
        <v>1</v>
      </c>
      <c r="BT24" s="112" t="str">
        <f>REPLACE(INDEX(GroupVertices[Group],MATCH("~"&amp;Edges[[#This Row],[Vertex 1]],GroupVertices[Vertex],0)),1,1,"")</f>
        <v>3</v>
      </c>
      <c r="BU24" s="112" t="str">
        <f>REPLACE(INDEX(GroupVertices[Group],MATCH("~"&amp;Edges[[#This Row],[Vertex 2]],GroupVertices[Vertex],0)),1,1,"")</f>
        <v>3</v>
      </c>
    </row>
    <row r="25" spans="1:73" ht="15">
      <c r="A25" s="59" t="s">
        <v>233</v>
      </c>
      <c r="B25" s="59" t="s">
        <v>271</v>
      </c>
      <c r="C25" s="60"/>
      <c r="D25" s="61"/>
      <c r="E25" s="62"/>
      <c r="F25" s="63"/>
      <c r="G25" s="60"/>
      <c r="H25" s="64"/>
      <c r="I25" s="65"/>
      <c r="J25" s="65"/>
      <c r="K25" s="30" t="s">
        <v>65</v>
      </c>
      <c r="L25" s="72">
        <v>25</v>
      </c>
      <c r="M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 s="67"/>
      <c r="O25" t="s">
        <v>482</v>
      </c>
      <c r="P25" s="73">
        <v>44577.076840277776</v>
      </c>
      <c r="Q25" t="s">
        <v>506</v>
      </c>
      <c r="R25">
        <v>1</v>
      </c>
      <c r="S25">
        <v>1</v>
      </c>
      <c r="T25">
        <v>0</v>
      </c>
      <c r="U25">
        <v>0</v>
      </c>
      <c r="W25" s="74" t="s">
        <v>683</v>
      </c>
      <c r="Z25" t="s">
        <v>271</v>
      </c>
      <c r="AC25" s="74" t="s">
        <v>787</v>
      </c>
      <c r="AD25" t="s">
        <v>794</v>
      </c>
      <c r="AE25" s="75" t="str">
        <f>HYPERLINK("https://twitter.com/elzusmar3/status/1482530705804771328")</f>
        <v>https://twitter.com/elzusmar3/status/1482530705804771328</v>
      </c>
      <c r="AF25" s="73">
        <v>44577.076840277776</v>
      </c>
      <c r="AG25" s="77">
        <v>44577</v>
      </c>
      <c r="AH25" s="74" t="s">
        <v>820</v>
      </c>
      <c r="AV25" s="75" t="str">
        <f>HYPERLINK("https://pbs.twimg.com/profile_images/1522229080187301888/2PJxLPXc_normal.jpg")</f>
        <v>https://pbs.twimg.com/profile_images/1522229080187301888/2PJxLPXc_normal.jpg</v>
      </c>
      <c r="AW25" s="74" t="s">
        <v>1041</v>
      </c>
      <c r="AX25" s="74" t="s">
        <v>1105</v>
      </c>
      <c r="AY25" s="74" t="s">
        <v>1326</v>
      </c>
      <c r="AZ25" s="74" t="s">
        <v>1105</v>
      </c>
      <c r="BA25" s="74" t="s">
        <v>1384</v>
      </c>
      <c r="BB25" s="74" t="s">
        <v>1384</v>
      </c>
      <c r="BC25" s="74" t="s">
        <v>1105</v>
      </c>
      <c r="BD25" s="74" t="s">
        <v>1409</v>
      </c>
      <c r="BJ25" s="44">
        <v>4</v>
      </c>
      <c r="BK25" s="45">
        <v>40</v>
      </c>
      <c r="BL25" s="44">
        <v>1</v>
      </c>
      <c r="BM25" s="45">
        <v>10</v>
      </c>
      <c r="BN25" s="44">
        <v>0</v>
      </c>
      <c r="BO25" s="45">
        <v>0</v>
      </c>
      <c r="BP25" s="44">
        <v>5</v>
      </c>
      <c r="BQ25" s="45">
        <v>50</v>
      </c>
      <c r="BR25" s="44">
        <v>10</v>
      </c>
      <c r="BS25">
        <v>1</v>
      </c>
      <c r="BT25" s="112" t="str">
        <f>REPLACE(INDEX(GroupVertices[Group],MATCH("~"&amp;Edges[[#This Row],[Vertex 1]],GroupVertices[Vertex],0)),1,1,"")</f>
        <v>39</v>
      </c>
      <c r="BU25" s="112" t="str">
        <f>REPLACE(INDEX(GroupVertices[Group],MATCH("~"&amp;Edges[[#This Row],[Vertex 2]],GroupVertices[Vertex],0)),1,1,"")</f>
        <v>39</v>
      </c>
    </row>
    <row r="26" spans="1:73" ht="15">
      <c r="A26" s="59" t="s">
        <v>234</v>
      </c>
      <c r="B26" s="59" t="s">
        <v>353</v>
      </c>
      <c r="C26" s="60"/>
      <c r="D26" s="61"/>
      <c r="E26" s="62"/>
      <c r="F26" s="63"/>
      <c r="G26" s="60"/>
      <c r="H26" s="64"/>
      <c r="I26" s="65"/>
      <c r="J26" s="65"/>
      <c r="K26" s="30" t="s">
        <v>65</v>
      </c>
      <c r="L26" s="72">
        <v>26</v>
      </c>
      <c r="M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 s="67"/>
      <c r="O26" t="s">
        <v>483</v>
      </c>
      <c r="P26" s="73">
        <v>44558.62626157407</v>
      </c>
      <c r="Q26" t="s">
        <v>507</v>
      </c>
      <c r="R26">
        <v>0</v>
      </c>
      <c r="S26">
        <v>0</v>
      </c>
      <c r="T26">
        <v>0</v>
      </c>
      <c r="U26">
        <v>0</v>
      </c>
      <c r="Z26" t="s">
        <v>728</v>
      </c>
      <c r="AC26" s="74" t="s">
        <v>787</v>
      </c>
      <c r="AD26" t="s">
        <v>794</v>
      </c>
      <c r="AE26" s="75" t="str">
        <f>HYPERLINK("https://twitter.com/dlarsono/status/1475844442636505088")</f>
        <v>https://twitter.com/dlarsono/status/1475844442636505088</v>
      </c>
      <c r="AF26" s="73">
        <v>44558.62626157407</v>
      </c>
      <c r="AG26" s="77">
        <v>44558</v>
      </c>
      <c r="AH26" s="74" t="s">
        <v>821</v>
      </c>
      <c r="AV26" s="75" t="str">
        <f>HYPERLINK("https://pbs.twimg.com/profile_images/1419567238357475331/groIw0Db_normal.jpg")</f>
        <v>https://pbs.twimg.com/profile_images/1419567238357475331/groIw0Db_normal.jpg</v>
      </c>
      <c r="AW26" s="74" t="s">
        <v>1042</v>
      </c>
      <c r="AX26" s="74" t="s">
        <v>1241</v>
      </c>
      <c r="AY26" s="74" t="s">
        <v>1327</v>
      </c>
      <c r="AZ26" s="74" t="s">
        <v>1241</v>
      </c>
      <c r="BA26" s="74" t="s">
        <v>1384</v>
      </c>
      <c r="BB26" s="74" t="s">
        <v>1384</v>
      </c>
      <c r="BC26" s="74" t="s">
        <v>1241</v>
      </c>
      <c r="BD26" s="74" t="s">
        <v>1410</v>
      </c>
      <c r="BJ26" s="44">
        <v>3</v>
      </c>
      <c r="BK26" s="45">
        <v>23.076923076923077</v>
      </c>
      <c r="BL26" s="44">
        <v>0</v>
      </c>
      <c r="BM26" s="45">
        <v>0</v>
      </c>
      <c r="BN26" s="44">
        <v>0</v>
      </c>
      <c r="BO26" s="45">
        <v>0</v>
      </c>
      <c r="BP26" s="44">
        <v>9</v>
      </c>
      <c r="BQ26" s="45">
        <v>69.23076923076923</v>
      </c>
      <c r="BR26" s="44">
        <v>13</v>
      </c>
      <c r="BS26">
        <v>1</v>
      </c>
      <c r="BT26" s="112" t="str">
        <f>REPLACE(INDEX(GroupVertices[Group],MATCH("~"&amp;Edges[[#This Row],[Vertex 1]],GroupVertices[Vertex],0)),1,1,"")</f>
        <v>4</v>
      </c>
      <c r="BU26" s="112" t="str">
        <f>REPLACE(INDEX(GroupVertices[Group],MATCH("~"&amp;Edges[[#This Row],[Vertex 2]],GroupVertices[Vertex],0)),1,1,"")</f>
        <v>4</v>
      </c>
    </row>
    <row r="27" spans="1:73" ht="15">
      <c r="A27" s="59" t="s">
        <v>234</v>
      </c>
      <c r="B27" s="59" t="s">
        <v>334</v>
      </c>
      <c r="C27" s="60"/>
      <c r="D27" s="61"/>
      <c r="E27" s="62"/>
      <c r="F27" s="63"/>
      <c r="G27" s="60"/>
      <c r="H27" s="64"/>
      <c r="I27" s="65"/>
      <c r="J27" s="65"/>
      <c r="K27" s="30" t="s">
        <v>65</v>
      </c>
      <c r="L27" s="72">
        <v>27</v>
      </c>
      <c r="M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 s="67"/>
      <c r="O27" t="s">
        <v>482</v>
      </c>
      <c r="P27" s="73">
        <v>44558.62626157407</v>
      </c>
      <c r="Q27" t="s">
        <v>507</v>
      </c>
      <c r="R27">
        <v>0</v>
      </c>
      <c r="S27">
        <v>0</v>
      </c>
      <c r="T27">
        <v>0</v>
      </c>
      <c r="U27">
        <v>0</v>
      </c>
      <c r="Z27" t="s">
        <v>728</v>
      </c>
      <c r="AC27" s="74" t="s">
        <v>787</v>
      </c>
      <c r="AD27" t="s">
        <v>794</v>
      </c>
      <c r="AE27" s="75" t="str">
        <f>HYPERLINK("https://twitter.com/dlarsono/status/1475844442636505088")</f>
        <v>https://twitter.com/dlarsono/status/1475844442636505088</v>
      </c>
      <c r="AF27" s="73">
        <v>44558.62626157407</v>
      </c>
      <c r="AG27" s="77">
        <v>44558</v>
      </c>
      <c r="AH27" s="74" t="s">
        <v>821</v>
      </c>
      <c r="AV27" s="75" t="str">
        <f>HYPERLINK("https://pbs.twimg.com/profile_images/1419567238357475331/groIw0Db_normal.jpg")</f>
        <v>https://pbs.twimg.com/profile_images/1419567238357475331/groIw0Db_normal.jpg</v>
      </c>
      <c r="AW27" s="74" t="s">
        <v>1042</v>
      </c>
      <c r="AX27" s="74" t="s">
        <v>1241</v>
      </c>
      <c r="AY27" s="74" t="s">
        <v>1327</v>
      </c>
      <c r="AZ27" s="74" t="s">
        <v>1241</v>
      </c>
      <c r="BA27" s="74" t="s">
        <v>1384</v>
      </c>
      <c r="BB27" s="74" t="s">
        <v>1384</v>
      </c>
      <c r="BC27" s="74" t="s">
        <v>1241</v>
      </c>
      <c r="BD27" s="74" t="s">
        <v>1410</v>
      </c>
      <c r="BJ27" s="44"/>
      <c r="BK27" s="45"/>
      <c r="BL27" s="44"/>
      <c r="BM27" s="45"/>
      <c r="BN27" s="44"/>
      <c r="BO27" s="45"/>
      <c r="BP27" s="44"/>
      <c r="BQ27" s="45"/>
      <c r="BR27" s="44"/>
      <c r="BS27">
        <v>1</v>
      </c>
      <c r="BT27" s="112" t="str">
        <f>REPLACE(INDEX(GroupVertices[Group],MATCH("~"&amp;Edges[[#This Row],[Vertex 1]],GroupVertices[Vertex],0)),1,1,"")</f>
        <v>4</v>
      </c>
      <c r="BU27" s="112" t="str">
        <f>REPLACE(INDEX(GroupVertices[Group],MATCH("~"&amp;Edges[[#This Row],[Vertex 2]],GroupVertices[Vertex],0)),1,1,"")</f>
        <v>4</v>
      </c>
    </row>
    <row r="28" spans="1:73" ht="15">
      <c r="A28" s="59" t="s">
        <v>234</v>
      </c>
      <c r="B28" s="59" t="s">
        <v>234</v>
      </c>
      <c r="C28" s="60"/>
      <c r="D28" s="61"/>
      <c r="E28" s="62"/>
      <c r="F28" s="63"/>
      <c r="G28" s="60"/>
      <c r="H28" s="64"/>
      <c r="I28" s="65"/>
      <c r="J28" s="65"/>
      <c r="K28" s="30" t="s">
        <v>65</v>
      </c>
      <c r="L28" s="72">
        <v>28</v>
      </c>
      <c r="M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 s="67"/>
      <c r="O28" t="s">
        <v>177</v>
      </c>
      <c r="P28" s="73">
        <v>44558.62480324074</v>
      </c>
      <c r="Q28" t="s">
        <v>508</v>
      </c>
      <c r="R28">
        <v>0</v>
      </c>
      <c r="S28">
        <v>0</v>
      </c>
      <c r="T28">
        <v>0</v>
      </c>
      <c r="U28">
        <v>0</v>
      </c>
      <c r="AC28" s="74" t="s">
        <v>787</v>
      </c>
      <c r="AD28" t="s">
        <v>794</v>
      </c>
      <c r="AE28" s="75" t="str">
        <f>HYPERLINK("https://twitter.com/dlarsono/status/1475843914422648837")</f>
        <v>https://twitter.com/dlarsono/status/1475843914422648837</v>
      </c>
      <c r="AF28" s="73">
        <v>44558.62480324074</v>
      </c>
      <c r="AG28" s="77">
        <v>44558</v>
      </c>
      <c r="AH28" s="74" t="s">
        <v>822</v>
      </c>
      <c r="AV28" s="75" t="str">
        <f>HYPERLINK("https://pbs.twimg.com/profile_images/1419567238357475331/groIw0Db_normal.jpg")</f>
        <v>https://pbs.twimg.com/profile_images/1419567238357475331/groIw0Db_normal.jpg</v>
      </c>
      <c r="AW28" s="74" t="s">
        <v>1043</v>
      </c>
      <c r="AX28" s="74" t="s">
        <v>1043</v>
      </c>
      <c r="AZ28" s="74" t="s">
        <v>1384</v>
      </c>
      <c r="BA28" s="74" t="s">
        <v>1384</v>
      </c>
      <c r="BB28" s="74" t="s">
        <v>1384</v>
      </c>
      <c r="BC28" s="74" t="s">
        <v>1043</v>
      </c>
      <c r="BD28" s="74" t="s">
        <v>1410</v>
      </c>
      <c r="BJ28" s="44">
        <v>4</v>
      </c>
      <c r="BK28" s="45">
        <v>50</v>
      </c>
      <c r="BL28" s="44">
        <v>0</v>
      </c>
      <c r="BM28" s="45">
        <v>0</v>
      </c>
      <c r="BN28" s="44">
        <v>0</v>
      </c>
      <c r="BO28" s="45">
        <v>0</v>
      </c>
      <c r="BP28" s="44">
        <v>4</v>
      </c>
      <c r="BQ28" s="45">
        <v>50</v>
      </c>
      <c r="BR28" s="44">
        <v>8</v>
      </c>
      <c r="BS28">
        <v>1</v>
      </c>
      <c r="BT28" s="112" t="str">
        <f>REPLACE(INDEX(GroupVertices[Group],MATCH("~"&amp;Edges[[#This Row],[Vertex 1]],GroupVertices[Vertex],0)),1,1,"")</f>
        <v>4</v>
      </c>
      <c r="BU28" s="112" t="str">
        <f>REPLACE(INDEX(GroupVertices[Group],MATCH("~"&amp;Edges[[#This Row],[Vertex 2]],GroupVertices[Vertex],0)),1,1,"")</f>
        <v>4</v>
      </c>
    </row>
    <row r="29" spans="1:73" ht="15">
      <c r="A29" s="59" t="s">
        <v>235</v>
      </c>
      <c r="B29" s="59" t="s">
        <v>341</v>
      </c>
      <c r="C29" s="60"/>
      <c r="D29" s="61"/>
      <c r="E29" s="62"/>
      <c r="F29" s="63"/>
      <c r="G29" s="60"/>
      <c r="H29" s="64"/>
      <c r="I29" s="65"/>
      <c r="J29" s="65"/>
      <c r="K29" s="30" t="s">
        <v>65</v>
      </c>
      <c r="L29" s="72">
        <v>29</v>
      </c>
      <c r="M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9" s="67"/>
      <c r="O29" t="s">
        <v>482</v>
      </c>
      <c r="P29" s="73">
        <v>44572.50814814815</v>
      </c>
      <c r="Q29" t="s">
        <v>509</v>
      </c>
      <c r="R29">
        <v>1</v>
      </c>
      <c r="S29">
        <v>1</v>
      </c>
      <c r="T29">
        <v>1</v>
      </c>
      <c r="U29">
        <v>0</v>
      </c>
      <c r="W29" s="74" t="s">
        <v>684</v>
      </c>
      <c r="Z29" t="s">
        <v>341</v>
      </c>
      <c r="AC29" s="74" t="s">
        <v>787</v>
      </c>
      <c r="AD29" t="s">
        <v>794</v>
      </c>
      <c r="AE29" s="75" t="str">
        <f>HYPERLINK("https://twitter.com/zephmiss/status/1480875070923079685")</f>
        <v>https://twitter.com/zephmiss/status/1480875070923079685</v>
      </c>
      <c r="AF29" s="73">
        <v>44572.50814814815</v>
      </c>
      <c r="AG29" s="77">
        <v>44572</v>
      </c>
      <c r="AH29" s="74" t="s">
        <v>823</v>
      </c>
      <c r="AV29" s="75" t="str">
        <f>HYPERLINK("https://pbs.twimg.com/profile_images/1577051339690950656/afYmBGZ8_normal.jpg")</f>
        <v>https://pbs.twimg.com/profile_images/1577051339690950656/afYmBGZ8_normal.jpg</v>
      </c>
      <c r="AW29" s="74" t="s">
        <v>1044</v>
      </c>
      <c r="AX29" s="74" t="s">
        <v>1242</v>
      </c>
      <c r="AY29" s="74" t="s">
        <v>1328</v>
      </c>
      <c r="AZ29" s="74" t="s">
        <v>1242</v>
      </c>
      <c r="BA29" s="74" t="s">
        <v>1384</v>
      </c>
      <c r="BB29" s="74" t="s">
        <v>1384</v>
      </c>
      <c r="BC29" s="74" t="s">
        <v>1242</v>
      </c>
      <c r="BD29" s="74" t="s">
        <v>1411</v>
      </c>
      <c r="BJ29" s="44">
        <v>0</v>
      </c>
      <c r="BK29" s="45">
        <v>0</v>
      </c>
      <c r="BL29" s="44">
        <v>0</v>
      </c>
      <c r="BM29" s="45">
        <v>0</v>
      </c>
      <c r="BN29" s="44">
        <v>0</v>
      </c>
      <c r="BO29" s="45">
        <v>0</v>
      </c>
      <c r="BP29" s="44">
        <v>23</v>
      </c>
      <c r="BQ29" s="45">
        <v>100</v>
      </c>
      <c r="BR29" s="44">
        <v>23</v>
      </c>
      <c r="BS29">
        <v>1</v>
      </c>
      <c r="BT29" s="112" t="str">
        <f>REPLACE(INDEX(GroupVertices[Group],MATCH("~"&amp;Edges[[#This Row],[Vertex 1]],GroupVertices[Vertex],0)),1,1,"")</f>
        <v>6</v>
      </c>
      <c r="BU29" s="112" t="str">
        <f>REPLACE(INDEX(GroupVertices[Group],MATCH("~"&amp;Edges[[#This Row],[Vertex 2]],GroupVertices[Vertex],0)),1,1,"")</f>
        <v>6</v>
      </c>
    </row>
    <row r="30" spans="1:73" ht="15">
      <c r="A30" s="59" t="s">
        <v>236</v>
      </c>
      <c r="B30" s="59" t="s">
        <v>318</v>
      </c>
      <c r="C30" s="60"/>
      <c r="D30" s="61"/>
      <c r="E30" s="62"/>
      <c r="F30" s="63"/>
      <c r="G30" s="60"/>
      <c r="H30" s="64"/>
      <c r="I30" s="65"/>
      <c r="J30" s="65"/>
      <c r="K30" s="30" t="s">
        <v>65</v>
      </c>
      <c r="L30" s="72">
        <v>30</v>
      </c>
      <c r="M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0" s="67"/>
      <c r="O30" t="s">
        <v>483</v>
      </c>
      <c r="P30" s="73">
        <v>44729.589270833334</v>
      </c>
      <c r="Q30" t="s">
        <v>510</v>
      </c>
      <c r="R30">
        <v>0</v>
      </c>
      <c r="S30">
        <v>0</v>
      </c>
      <c r="T30">
        <v>0</v>
      </c>
      <c r="U30">
        <v>0</v>
      </c>
      <c r="Z30" t="s">
        <v>729</v>
      </c>
      <c r="AC30" s="74" t="s">
        <v>787</v>
      </c>
      <c r="AD30" t="s">
        <v>794</v>
      </c>
      <c r="AE30" s="75" t="str">
        <f>HYPERLINK("https://twitter.com/yeni_ekawati/status/1537799362884952064")</f>
        <v>https://twitter.com/yeni_ekawati/status/1537799362884952064</v>
      </c>
      <c r="AF30" s="73">
        <v>44729.589270833334</v>
      </c>
      <c r="AG30" s="77">
        <v>44729</v>
      </c>
      <c r="AH30" s="74" t="s">
        <v>824</v>
      </c>
      <c r="AV30" s="75" t="str">
        <f>HYPERLINK("https://pbs.twimg.com/profile_images/1395768456671240196/ODQkyYlU_normal.jpg")</f>
        <v>https://pbs.twimg.com/profile_images/1395768456671240196/ODQkyYlU_normal.jpg</v>
      </c>
      <c r="AW30" s="74" t="s">
        <v>1045</v>
      </c>
      <c r="AX30" s="74" t="s">
        <v>1243</v>
      </c>
      <c r="AY30" s="74" t="s">
        <v>1329</v>
      </c>
      <c r="AZ30" s="74" t="s">
        <v>1388</v>
      </c>
      <c r="BA30" s="74" t="s">
        <v>1384</v>
      </c>
      <c r="BB30" s="74" t="s">
        <v>1384</v>
      </c>
      <c r="BC30" s="74" t="s">
        <v>1388</v>
      </c>
      <c r="BD30">
        <v>292148810</v>
      </c>
      <c r="BJ30" s="44">
        <v>4</v>
      </c>
      <c r="BK30" s="45">
        <v>36.36363636363637</v>
      </c>
      <c r="BL30" s="44">
        <v>0</v>
      </c>
      <c r="BM30" s="45">
        <v>0</v>
      </c>
      <c r="BN30" s="44">
        <v>0</v>
      </c>
      <c r="BO30" s="45">
        <v>0</v>
      </c>
      <c r="BP30" s="44">
        <v>7</v>
      </c>
      <c r="BQ30" s="45">
        <v>63.63636363636363</v>
      </c>
      <c r="BR30" s="44">
        <v>11</v>
      </c>
      <c r="BS30">
        <v>1</v>
      </c>
      <c r="BT30" s="112" t="str">
        <f>REPLACE(INDEX(GroupVertices[Group],MATCH("~"&amp;Edges[[#This Row],[Vertex 1]],GroupVertices[Vertex],0)),1,1,"")</f>
        <v>9</v>
      </c>
      <c r="BU30" s="112" t="str">
        <f>REPLACE(INDEX(GroupVertices[Group],MATCH("~"&amp;Edges[[#This Row],[Vertex 2]],GroupVertices[Vertex],0)),1,1,"")</f>
        <v>9</v>
      </c>
    </row>
    <row r="31" spans="1:73" ht="15">
      <c r="A31" s="59" t="s">
        <v>237</v>
      </c>
      <c r="B31" s="59" t="s">
        <v>354</v>
      </c>
      <c r="C31" s="60"/>
      <c r="D31" s="61"/>
      <c r="E31" s="62"/>
      <c r="F31" s="63"/>
      <c r="G31" s="60"/>
      <c r="H31" s="64"/>
      <c r="I31" s="65"/>
      <c r="J31" s="65"/>
      <c r="K31" s="30" t="s">
        <v>65</v>
      </c>
      <c r="L31" s="72">
        <v>31</v>
      </c>
      <c r="M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1" s="67"/>
      <c r="O31" t="s">
        <v>482</v>
      </c>
      <c r="P31" s="73">
        <v>44720.17099537037</v>
      </c>
      <c r="Q31" t="s">
        <v>511</v>
      </c>
      <c r="R31">
        <v>0</v>
      </c>
      <c r="S31">
        <v>2</v>
      </c>
      <c r="T31">
        <v>1</v>
      </c>
      <c r="U31">
        <v>0</v>
      </c>
      <c r="Z31" t="s">
        <v>354</v>
      </c>
      <c r="AC31" s="74" t="s">
        <v>787</v>
      </c>
      <c r="AD31" t="s">
        <v>794</v>
      </c>
      <c r="AE31" s="75" t="str">
        <f>HYPERLINK("https://twitter.com/y_yoeng/status/1534386293886443520")</f>
        <v>https://twitter.com/y_yoeng/status/1534386293886443520</v>
      </c>
      <c r="AF31" s="73">
        <v>44720.17099537037</v>
      </c>
      <c r="AG31" s="77">
        <v>44720</v>
      </c>
      <c r="AH31" s="74" t="s">
        <v>825</v>
      </c>
      <c r="AV31" s="75" t="str">
        <f>HYPERLINK("https://pbs.twimg.com/profile_images/1526536252509499392/Y-B9JKB2_normal.jpg")</f>
        <v>https://pbs.twimg.com/profile_images/1526536252509499392/Y-B9JKB2_normal.jpg</v>
      </c>
      <c r="AW31" s="74" t="s">
        <v>1046</v>
      </c>
      <c r="AX31" s="74" t="s">
        <v>1244</v>
      </c>
      <c r="AY31" s="74" t="s">
        <v>1330</v>
      </c>
      <c r="AZ31" s="74" t="s">
        <v>1244</v>
      </c>
      <c r="BA31" s="74" t="s">
        <v>1384</v>
      </c>
      <c r="BB31" s="74" t="s">
        <v>1384</v>
      </c>
      <c r="BC31" s="74" t="s">
        <v>1244</v>
      </c>
      <c r="BD31" s="74" t="s">
        <v>1412</v>
      </c>
      <c r="BJ31" s="44">
        <v>3</v>
      </c>
      <c r="BK31" s="45">
        <v>75</v>
      </c>
      <c r="BL31" s="44">
        <v>0</v>
      </c>
      <c r="BM31" s="45">
        <v>0</v>
      </c>
      <c r="BN31" s="44">
        <v>0</v>
      </c>
      <c r="BO31" s="45">
        <v>0</v>
      </c>
      <c r="BP31" s="44">
        <v>1</v>
      </c>
      <c r="BQ31" s="45">
        <v>25</v>
      </c>
      <c r="BR31" s="44">
        <v>4</v>
      </c>
      <c r="BS31">
        <v>1</v>
      </c>
      <c r="BT31" s="112" t="str">
        <f>REPLACE(INDEX(GroupVertices[Group],MATCH("~"&amp;Edges[[#This Row],[Vertex 1]],GroupVertices[Vertex],0)),1,1,"")</f>
        <v>15</v>
      </c>
      <c r="BU31" s="112" t="str">
        <f>REPLACE(INDEX(GroupVertices[Group],MATCH("~"&amp;Edges[[#This Row],[Vertex 2]],GroupVertices[Vertex],0)),1,1,"")</f>
        <v>15</v>
      </c>
    </row>
    <row r="32" spans="1:73" ht="15">
      <c r="A32" s="59" t="s">
        <v>238</v>
      </c>
      <c r="B32" s="59" t="s">
        <v>337</v>
      </c>
      <c r="C32" s="60"/>
      <c r="D32" s="61"/>
      <c r="E32" s="62"/>
      <c r="F32" s="63"/>
      <c r="G32" s="60"/>
      <c r="H32" s="64"/>
      <c r="I32" s="65"/>
      <c r="J32" s="65"/>
      <c r="K32" s="30" t="s">
        <v>65</v>
      </c>
      <c r="L32" s="72">
        <v>32</v>
      </c>
      <c r="M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2" s="67"/>
      <c r="O32" t="s">
        <v>482</v>
      </c>
      <c r="P32" s="73">
        <v>44808.48490740741</v>
      </c>
      <c r="Q32" t="s">
        <v>512</v>
      </c>
      <c r="R32">
        <v>0</v>
      </c>
      <c r="S32">
        <v>0</v>
      </c>
      <c r="T32">
        <v>0</v>
      </c>
      <c r="U32">
        <v>0</v>
      </c>
      <c r="Z32" t="s">
        <v>337</v>
      </c>
      <c r="AC32" s="74" t="s">
        <v>787</v>
      </c>
      <c r="AD32" t="s">
        <v>794</v>
      </c>
      <c r="AE32" s="75" t="str">
        <f>HYPERLINK("https://twitter.com/intanwarhani/status/1566390182114635776")</f>
        <v>https://twitter.com/intanwarhani/status/1566390182114635776</v>
      </c>
      <c r="AF32" s="73">
        <v>44808.48490740741</v>
      </c>
      <c r="AG32" s="77">
        <v>44808</v>
      </c>
      <c r="AH32" s="74" t="s">
        <v>826</v>
      </c>
      <c r="AV32" s="75" t="str">
        <f>HYPERLINK("https://pbs.twimg.com/profile_images/1517492179719323648/h3uLtUhZ_normal.jpg")</f>
        <v>https://pbs.twimg.com/profile_images/1517492179719323648/h3uLtUhZ_normal.jpg</v>
      </c>
      <c r="AW32" s="74" t="s">
        <v>1047</v>
      </c>
      <c r="AX32" s="74" t="s">
        <v>1245</v>
      </c>
      <c r="AY32" s="74" t="s">
        <v>1331</v>
      </c>
      <c r="AZ32" s="74" t="s">
        <v>1245</v>
      </c>
      <c r="BA32" s="74" t="s">
        <v>1384</v>
      </c>
      <c r="BB32" s="74" t="s">
        <v>1384</v>
      </c>
      <c r="BC32" s="74" t="s">
        <v>1245</v>
      </c>
      <c r="BD32" s="74" t="s">
        <v>1413</v>
      </c>
      <c r="BJ32" s="44">
        <v>3</v>
      </c>
      <c r="BK32" s="45">
        <v>75</v>
      </c>
      <c r="BL32" s="44">
        <v>0</v>
      </c>
      <c r="BM32" s="45">
        <v>0</v>
      </c>
      <c r="BN32" s="44">
        <v>0</v>
      </c>
      <c r="BO32" s="45">
        <v>0</v>
      </c>
      <c r="BP32" s="44">
        <v>1</v>
      </c>
      <c r="BQ32" s="45">
        <v>25</v>
      </c>
      <c r="BR32" s="44">
        <v>4</v>
      </c>
      <c r="BS32">
        <v>1</v>
      </c>
      <c r="BT32" s="112" t="str">
        <f>REPLACE(INDEX(GroupVertices[Group],MATCH("~"&amp;Edges[[#This Row],[Vertex 1]],GroupVertices[Vertex],0)),1,1,"")</f>
        <v>5</v>
      </c>
      <c r="BU32" s="112" t="str">
        <f>REPLACE(INDEX(GroupVertices[Group],MATCH("~"&amp;Edges[[#This Row],[Vertex 2]],GroupVertices[Vertex],0)),1,1,"")</f>
        <v>5</v>
      </c>
    </row>
    <row r="33" spans="1:73" ht="15">
      <c r="A33" s="59" t="s">
        <v>238</v>
      </c>
      <c r="B33" s="59" t="s">
        <v>334</v>
      </c>
      <c r="C33" s="60"/>
      <c r="D33" s="61"/>
      <c r="E33" s="62"/>
      <c r="F33" s="63"/>
      <c r="G33" s="60"/>
      <c r="H33" s="64"/>
      <c r="I33" s="65"/>
      <c r="J33" s="65"/>
      <c r="K33" s="30" t="s">
        <v>65</v>
      </c>
      <c r="L33" s="72">
        <v>33</v>
      </c>
      <c r="M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3" s="67"/>
      <c r="O33" t="s">
        <v>482</v>
      </c>
      <c r="P33" s="73">
        <v>44777.10601851852</v>
      </c>
      <c r="Q33" t="s">
        <v>513</v>
      </c>
      <c r="R33">
        <v>0</v>
      </c>
      <c r="S33">
        <v>1</v>
      </c>
      <c r="T33">
        <v>0</v>
      </c>
      <c r="U33">
        <v>0</v>
      </c>
      <c r="Z33" t="s">
        <v>334</v>
      </c>
      <c r="AC33" s="74" t="s">
        <v>787</v>
      </c>
      <c r="AD33" t="s">
        <v>794</v>
      </c>
      <c r="AE33" s="75" t="str">
        <f>HYPERLINK("https://twitter.com/intanwarhani/status/1555018855357247488")</f>
        <v>https://twitter.com/intanwarhani/status/1555018855357247488</v>
      </c>
      <c r="AF33" s="73">
        <v>44777.10601851852</v>
      </c>
      <c r="AG33" s="77">
        <v>44777</v>
      </c>
      <c r="AH33" s="74" t="s">
        <v>827</v>
      </c>
      <c r="AV33" s="75" t="str">
        <f>HYPERLINK("https://pbs.twimg.com/profile_images/1517492179719323648/h3uLtUhZ_normal.jpg")</f>
        <v>https://pbs.twimg.com/profile_images/1517492179719323648/h3uLtUhZ_normal.jpg</v>
      </c>
      <c r="AW33" s="74" t="s">
        <v>1048</v>
      </c>
      <c r="AX33" s="74" t="s">
        <v>1246</v>
      </c>
      <c r="AY33" s="74" t="s">
        <v>1327</v>
      </c>
      <c r="AZ33" s="74" t="s">
        <v>1246</v>
      </c>
      <c r="BA33" s="74" t="s">
        <v>1384</v>
      </c>
      <c r="BB33" s="74" t="s">
        <v>1384</v>
      </c>
      <c r="BC33" s="74" t="s">
        <v>1246</v>
      </c>
      <c r="BD33" s="74" t="s">
        <v>1413</v>
      </c>
      <c r="BJ33" s="44">
        <v>4</v>
      </c>
      <c r="BK33" s="45">
        <v>19.047619047619047</v>
      </c>
      <c r="BL33" s="44">
        <v>0</v>
      </c>
      <c r="BM33" s="45">
        <v>0</v>
      </c>
      <c r="BN33" s="44">
        <v>0</v>
      </c>
      <c r="BO33" s="45">
        <v>0</v>
      </c>
      <c r="BP33" s="44">
        <v>17</v>
      </c>
      <c r="BQ33" s="45">
        <v>80.95238095238095</v>
      </c>
      <c r="BR33" s="44">
        <v>21</v>
      </c>
      <c r="BS33">
        <v>1</v>
      </c>
      <c r="BT33" s="112" t="str">
        <f>REPLACE(INDEX(GroupVertices[Group],MATCH("~"&amp;Edges[[#This Row],[Vertex 1]],GroupVertices[Vertex],0)),1,1,"")</f>
        <v>5</v>
      </c>
      <c r="BU33" s="112" t="str">
        <f>REPLACE(INDEX(GroupVertices[Group],MATCH("~"&amp;Edges[[#This Row],[Vertex 2]],GroupVertices[Vertex],0)),1,1,"")</f>
        <v>4</v>
      </c>
    </row>
    <row r="34" spans="1:73" ht="15">
      <c r="A34" s="59" t="s">
        <v>238</v>
      </c>
      <c r="B34" s="59" t="s">
        <v>335</v>
      </c>
      <c r="C34" s="60"/>
      <c r="D34" s="61"/>
      <c r="E34" s="62"/>
      <c r="F34" s="63"/>
      <c r="G34" s="60"/>
      <c r="H34" s="64"/>
      <c r="I34" s="65"/>
      <c r="J34" s="65"/>
      <c r="K34" s="30" t="s">
        <v>65</v>
      </c>
      <c r="L34" s="72">
        <v>34</v>
      </c>
      <c r="M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4" s="67"/>
      <c r="O34" t="s">
        <v>482</v>
      </c>
      <c r="P34" s="73">
        <v>44776.54138888889</v>
      </c>
      <c r="Q34" t="s">
        <v>514</v>
      </c>
      <c r="R34">
        <v>0</v>
      </c>
      <c r="S34">
        <v>0</v>
      </c>
      <c r="T34">
        <v>0</v>
      </c>
      <c r="U34">
        <v>0</v>
      </c>
      <c r="Z34" t="s">
        <v>335</v>
      </c>
      <c r="AC34" s="74" t="s">
        <v>787</v>
      </c>
      <c r="AD34" t="s">
        <v>794</v>
      </c>
      <c r="AE34" s="75" t="str">
        <f>HYPERLINK("https://twitter.com/intanwarhani/status/1554814237868191745")</f>
        <v>https://twitter.com/intanwarhani/status/1554814237868191745</v>
      </c>
      <c r="AF34" s="73">
        <v>44776.54138888889</v>
      </c>
      <c r="AG34" s="77">
        <v>44776</v>
      </c>
      <c r="AH34" s="74" t="s">
        <v>828</v>
      </c>
      <c r="AV34" s="75" t="str">
        <f>HYPERLINK("https://pbs.twimg.com/profile_images/1517492179719323648/h3uLtUhZ_normal.jpg")</f>
        <v>https://pbs.twimg.com/profile_images/1517492179719323648/h3uLtUhZ_normal.jpg</v>
      </c>
      <c r="AW34" s="74" t="s">
        <v>1049</v>
      </c>
      <c r="AX34" s="74" t="s">
        <v>1247</v>
      </c>
      <c r="AY34" s="74" t="s">
        <v>1319</v>
      </c>
      <c r="AZ34" s="74" t="s">
        <v>1247</v>
      </c>
      <c r="BA34" s="74" t="s">
        <v>1384</v>
      </c>
      <c r="BB34" s="74" t="s">
        <v>1384</v>
      </c>
      <c r="BC34" s="74" t="s">
        <v>1247</v>
      </c>
      <c r="BD34" s="74" t="s">
        <v>1413</v>
      </c>
      <c r="BJ34" s="44">
        <v>3</v>
      </c>
      <c r="BK34" s="45">
        <v>60</v>
      </c>
      <c r="BL34" s="44">
        <v>0</v>
      </c>
      <c r="BM34" s="45">
        <v>0</v>
      </c>
      <c r="BN34" s="44">
        <v>0</v>
      </c>
      <c r="BO34" s="45">
        <v>0</v>
      </c>
      <c r="BP34" s="44">
        <v>2</v>
      </c>
      <c r="BQ34" s="45">
        <v>40</v>
      </c>
      <c r="BR34" s="44">
        <v>5</v>
      </c>
      <c r="BS34">
        <v>1</v>
      </c>
      <c r="BT34" s="112" t="str">
        <f>REPLACE(INDEX(GroupVertices[Group],MATCH("~"&amp;Edges[[#This Row],[Vertex 1]],GroupVertices[Vertex],0)),1,1,"")</f>
        <v>5</v>
      </c>
      <c r="BU34" s="112" t="str">
        <f>REPLACE(INDEX(GroupVertices[Group],MATCH("~"&amp;Edges[[#This Row],[Vertex 2]],GroupVertices[Vertex],0)),1,1,"")</f>
        <v>5</v>
      </c>
    </row>
    <row r="35" spans="1:73" ht="15">
      <c r="A35" s="59" t="s">
        <v>239</v>
      </c>
      <c r="B35" s="59" t="s">
        <v>355</v>
      </c>
      <c r="C35" s="60"/>
      <c r="D35" s="61"/>
      <c r="E35" s="62"/>
      <c r="F35" s="63"/>
      <c r="G35" s="60"/>
      <c r="H35" s="64"/>
      <c r="I35" s="65"/>
      <c r="J35" s="65"/>
      <c r="K35" s="30" t="s">
        <v>65</v>
      </c>
      <c r="L35" s="72">
        <v>35</v>
      </c>
      <c r="M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5" s="67"/>
      <c r="O35" t="s">
        <v>482</v>
      </c>
      <c r="P35" s="73">
        <v>44564.25482638889</v>
      </c>
      <c r="Q35" t="s">
        <v>515</v>
      </c>
      <c r="R35">
        <v>0</v>
      </c>
      <c r="S35">
        <v>0</v>
      </c>
      <c r="T35">
        <v>0</v>
      </c>
      <c r="U35">
        <v>0</v>
      </c>
      <c r="AC35" s="74" t="s">
        <v>787</v>
      </c>
      <c r="AD35" t="s">
        <v>794</v>
      </c>
      <c r="AE35" s="75" t="str">
        <f>HYPERLINK("https://twitter.com/sjaifulskb/status/1477884165521436672")</f>
        <v>https://twitter.com/sjaifulskb/status/1477884165521436672</v>
      </c>
      <c r="AF35" s="73">
        <v>44564.25482638889</v>
      </c>
      <c r="AG35" s="77">
        <v>44564</v>
      </c>
      <c r="AH35" s="74" t="s">
        <v>829</v>
      </c>
      <c r="AV35" s="75" t="str">
        <f>HYPERLINK("https://pbs.twimg.com/profile_images/3657796708/307ef7f44163cbbfab6a1de091d5a307_normal.jpeg")</f>
        <v>https://pbs.twimg.com/profile_images/3657796708/307ef7f44163cbbfab6a1de091d5a307_normal.jpeg</v>
      </c>
      <c r="AW35" s="74" t="s">
        <v>1050</v>
      </c>
      <c r="AX35" s="74" t="s">
        <v>1248</v>
      </c>
      <c r="AY35" s="74" t="s">
        <v>1332</v>
      </c>
      <c r="AZ35" s="74" t="s">
        <v>1248</v>
      </c>
      <c r="BA35" s="74" t="s">
        <v>1384</v>
      </c>
      <c r="BB35" s="74" t="s">
        <v>1384</v>
      </c>
      <c r="BC35" s="74" t="s">
        <v>1248</v>
      </c>
      <c r="BD35">
        <v>322726050</v>
      </c>
      <c r="BJ35" s="44">
        <v>3</v>
      </c>
      <c r="BK35" s="45">
        <v>75</v>
      </c>
      <c r="BL35" s="44">
        <v>0</v>
      </c>
      <c r="BM35" s="45">
        <v>0</v>
      </c>
      <c r="BN35" s="44">
        <v>0</v>
      </c>
      <c r="BO35" s="45">
        <v>0</v>
      </c>
      <c r="BP35" s="44">
        <v>1</v>
      </c>
      <c r="BQ35" s="45">
        <v>25</v>
      </c>
      <c r="BR35" s="44">
        <v>4</v>
      </c>
      <c r="BS35">
        <v>1</v>
      </c>
      <c r="BT35" s="112" t="str">
        <f>REPLACE(INDEX(GroupVertices[Group],MATCH("~"&amp;Edges[[#This Row],[Vertex 1]],GroupVertices[Vertex],0)),1,1,"")</f>
        <v>22</v>
      </c>
      <c r="BU35" s="112" t="str">
        <f>REPLACE(INDEX(GroupVertices[Group],MATCH("~"&amp;Edges[[#This Row],[Vertex 2]],GroupVertices[Vertex],0)),1,1,"")</f>
        <v>22</v>
      </c>
    </row>
    <row r="36" spans="1:73" ht="15">
      <c r="A36" s="59" t="s">
        <v>239</v>
      </c>
      <c r="B36" s="59" t="s">
        <v>356</v>
      </c>
      <c r="C36" s="60"/>
      <c r="D36" s="61"/>
      <c r="E36" s="62"/>
      <c r="F36" s="63"/>
      <c r="G36" s="60"/>
      <c r="H36" s="64"/>
      <c r="I36" s="65"/>
      <c r="J36" s="65"/>
      <c r="K36" s="30" t="s">
        <v>65</v>
      </c>
      <c r="L36" s="72">
        <v>36</v>
      </c>
      <c r="M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6" s="67"/>
      <c r="O36" t="s">
        <v>482</v>
      </c>
      <c r="P36" s="73">
        <v>45019.62045138889</v>
      </c>
      <c r="Q36" t="s">
        <v>516</v>
      </c>
      <c r="R36">
        <v>0</v>
      </c>
      <c r="S36">
        <v>2</v>
      </c>
      <c r="T36">
        <v>0</v>
      </c>
      <c r="U36">
        <v>0</v>
      </c>
      <c r="V36">
        <v>132</v>
      </c>
      <c r="Z36" t="s">
        <v>356</v>
      </c>
      <c r="AC36" s="74" t="s">
        <v>787</v>
      </c>
      <c r="AD36" t="s">
        <v>794</v>
      </c>
      <c r="AE36" s="75" t="str">
        <f>HYPERLINK("https://twitter.com/sjaifulskb/status/1642903143016189955")</f>
        <v>https://twitter.com/sjaifulskb/status/1642903143016189955</v>
      </c>
      <c r="AF36" s="73">
        <v>45019.62045138889</v>
      </c>
      <c r="AG36" s="77">
        <v>45019</v>
      </c>
      <c r="AH36" s="74" t="s">
        <v>830</v>
      </c>
      <c r="AV36" s="75" t="str">
        <f>HYPERLINK("https://pbs.twimg.com/profile_images/3657796708/307ef7f44163cbbfab6a1de091d5a307_normal.jpeg")</f>
        <v>https://pbs.twimg.com/profile_images/3657796708/307ef7f44163cbbfab6a1de091d5a307_normal.jpeg</v>
      </c>
      <c r="AW36" s="74" t="s">
        <v>1051</v>
      </c>
      <c r="AX36" s="74" t="s">
        <v>1249</v>
      </c>
      <c r="AY36" s="74" t="s">
        <v>1333</v>
      </c>
      <c r="AZ36" s="74" t="s">
        <v>1249</v>
      </c>
      <c r="BA36" s="74" t="s">
        <v>1384</v>
      </c>
      <c r="BB36" s="74" t="s">
        <v>1384</v>
      </c>
      <c r="BC36" s="74" t="s">
        <v>1249</v>
      </c>
      <c r="BD36">
        <v>322726050</v>
      </c>
      <c r="BJ36" s="44">
        <v>3</v>
      </c>
      <c r="BK36" s="45">
        <v>75</v>
      </c>
      <c r="BL36" s="44">
        <v>0</v>
      </c>
      <c r="BM36" s="45">
        <v>0</v>
      </c>
      <c r="BN36" s="44">
        <v>0</v>
      </c>
      <c r="BO36" s="45">
        <v>0</v>
      </c>
      <c r="BP36" s="44">
        <v>1</v>
      </c>
      <c r="BQ36" s="45">
        <v>25</v>
      </c>
      <c r="BR36" s="44">
        <v>4</v>
      </c>
      <c r="BS36">
        <v>1</v>
      </c>
      <c r="BT36" s="112" t="str">
        <f>REPLACE(INDEX(GroupVertices[Group],MATCH("~"&amp;Edges[[#This Row],[Vertex 1]],GroupVertices[Vertex],0)),1,1,"")</f>
        <v>22</v>
      </c>
      <c r="BU36" s="112" t="str">
        <f>REPLACE(INDEX(GroupVertices[Group],MATCH("~"&amp;Edges[[#This Row],[Vertex 2]],GroupVertices[Vertex],0)),1,1,"")</f>
        <v>22</v>
      </c>
    </row>
    <row r="37" spans="1:73" ht="15">
      <c r="A37" s="59" t="s">
        <v>240</v>
      </c>
      <c r="B37" s="59" t="s">
        <v>318</v>
      </c>
      <c r="C37" s="60"/>
      <c r="D37" s="61"/>
      <c r="E37" s="62"/>
      <c r="F37" s="63"/>
      <c r="G37" s="60"/>
      <c r="H37" s="64"/>
      <c r="I37" s="65"/>
      <c r="J37" s="65"/>
      <c r="K37" s="30" t="s">
        <v>65</v>
      </c>
      <c r="L37" s="72">
        <v>37</v>
      </c>
      <c r="M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7" s="67"/>
      <c r="O37" t="s">
        <v>482</v>
      </c>
      <c r="P37" s="73">
        <v>44568.022465277776</v>
      </c>
      <c r="Q37" t="s">
        <v>517</v>
      </c>
      <c r="R37">
        <v>0</v>
      </c>
      <c r="S37">
        <v>0</v>
      </c>
      <c r="T37">
        <v>0</v>
      </c>
      <c r="U37">
        <v>0</v>
      </c>
      <c r="W37" s="74" t="s">
        <v>682</v>
      </c>
      <c r="Z37" t="s">
        <v>318</v>
      </c>
      <c r="AC37" s="74" t="s">
        <v>787</v>
      </c>
      <c r="AD37" t="s">
        <v>796</v>
      </c>
      <c r="AE37" s="75" t="str">
        <f>HYPERLINK("https://twitter.com/81calra/status/1479249514301063174")</f>
        <v>https://twitter.com/81calra/status/1479249514301063174</v>
      </c>
      <c r="AF37" s="73">
        <v>44568.022465277776</v>
      </c>
      <c r="AG37" s="77">
        <v>44568</v>
      </c>
      <c r="AH37" s="74" t="s">
        <v>831</v>
      </c>
      <c r="AV37" s="75" t="str">
        <f>HYPERLINK("https://pbs.twimg.com/profile_images/1101616992027500545/zqfFjyzK_normal.jpg")</f>
        <v>https://pbs.twimg.com/profile_images/1101616992027500545/zqfFjyzK_normal.jpg</v>
      </c>
      <c r="AW37" s="74" t="s">
        <v>1052</v>
      </c>
      <c r="AX37" s="74" t="s">
        <v>1179</v>
      </c>
      <c r="AY37" s="74" t="s">
        <v>1334</v>
      </c>
      <c r="AZ37" s="74" t="s">
        <v>1179</v>
      </c>
      <c r="BA37" s="74" t="s">
        <v>1384</v>
      </c>
      <c r="BB37" s="74" t="s">
        <v>1384</v>
      </c>
      <c r="BC37" s="74" t="s">
        <v>1179</v>
      </c>
      <c r="BD37" s="74" t="s">
        <v>1414</v>
      </c>
      <c r="BJ37" s="44">
        <v>1</v>
      </c>
      <c r="BK37" s="45">
        <v>33.333333333333336</v>
      </c>
      <c r="BL37" s="44">
        <v>0</v>
      </c>
      <c r="BM37" s="45">
        <v>0</v>
      </c>
      <c r="BN37" s="44">
        <v>0</v>
      </c>
      <c r="BO37" s="45">
        <v>0</v>
      </c>
      <c r="BP37" s="44">
        <v>2</v>
      </c>
      <c r="BQ37" s="45">
        <v>66.66666666666667</v>
      </c>
      <c r="BR37" s="44">
        <v>3</v>
      </c>
      <c r="BS37">
        <v>1</v>
      </c>
      <c r="BT37" s="112" t="str">
        <f>REPLACE(INDEX(GroupVertices[Group],MATCH("~"&amp;Edges[[#This Row],[Vertex 1]],GroupVertices[Vertex],0)),1,1,"")</f>
        <v>9</v>
      </c>
      <c r="BU37" s="112" t="str">
        <f>REPLACE(INDEX(GroupVertices[Group],MATCH("~"&amp;Edges[[#This Row],[Vertex 2]],GroupVertices[Vertex],0)),1,1,"")</f>
        <v>9</v>
      </c>
    </row>
    <row r="38" spans="1:73" ht="15">
      <c r="A38" s="59" t="s">
        <v>241</v>
      </c>
      <c r="B38" s="59" t="s">
        <v>241</v>
      </c>
      <c r="C38" s="60"/>
      <c r="D38" s="61"/>
      <c r="E38" s="62"/>
      <c r="F38" s="63"/>
      <c r="G38" s="60"/>
      <c r="H38" s="64"/>
      <c r="I38" s="65"/>
      <c r="J38" s="65"/>
      <c r="K38" s="30" t="s">
        <v>65</v>
      </c>
      <c r="L38" s="72">
        <v>38</v>
      </c>
      <c r="M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8" s="67"/>
      <c r="O38" t="s">
        <v>177</v>
      </c>
      <c r="P38" s="73">
        <v>44641.68168981482</v>
      </c>
      <c r="Q38" t="s">
        <v>518</v>
      </c>
      <c r="R38">
        <v>0</v>
      </c>
      <c r="S38">
        <v>1</v>
      </c>
      <c r="T38">
        <v>0</v>
      </c>
      <c r="U38">
        <v>0</v>
      </c>
      <c r="W38" s="74" t="s">
        <v>682</v>
      </c>
      <c r="AA38" t="s">
        <v>764</v>
      </c>
      <c r="AB38" t="s">
        <v>783</v>
      </c>
      <c r="AC38" s="74" t="s">
        <v>787</v>
      </c>
      <c r="AD38" t="s">
        <v>794</v>
      </c>
      <c r="AE38" s="75" t="str">
        <f>HYPERLINK("https://twitter.com/pengabdi99/status/1505942722766680069")</f>
        <v>https://twitter.com/pengabdi99/status/1505942722766680069</v>
      </c>
      <c r="AF38" s="73">
        <v>44641.68168981482</v>
      </c>
      <c r="AG38" s="77">
        <v>44641</v>
      </c>
      <c r="AH38" s="74" t="s">
        <v>832</v>
      </c>
      <c r="AI38" t="b">
        <v>0</v>
      </c>
      <c r="AQ38" t="s">
        <v>1002</v>
      </c>
      <c r="AV38" s="75" t="str">
        <f>HYPERLINK("https://pbs.twimg.com/media/FOYu6fJXEAM9jhR.jpg")</f>
        <v>https://pbs.twimg.com/media/FOYu6fJXEAM9jhR.jpg</v>
      </c>
      <c r="AW38" s="74" t="s">
        <v>1053</v>
      </c>
      <c r="AX38" s="74" t="s">
        <v>1053</v>
      </c>
      <c r="AZ38" s="74" t="s">
        <v>1384</v>
      </c>
      <c r="BA38" s="74" t="s">
        <v>1384</v>
      </c>
      <c r="BB38" s="74" t="s">
        <v>1384</v>
      </c>
      <c r="BC38" s="74" t="s">
        <v>1053</v>
      </c>
      <c r="BD38">
        <v>97328251</v>
      </c>
      <c r="BJ38" s="44">
        <v>0</v>
      </c>
      <c r="BK38" s="45">
        <v>0</v>
      </c>
      <c r="BL38" s="44">
        <v>0</v>
      </c>
      <c r="BM38" s="45">
        <v>0</v>
      </c>
      <c r="BN38" s="44">
        <v>0</v>
      </c>
      <c r="BO38" s="45">
        <v>0</v>
      </c>
      <c r="BP38" s="44">
        <v>7</v>
      </c>
      <c r="BQ38" s="45">
        <v>100</v>
      </c>
      <c r="BR38" s="44">
        <v>7</v>
      </c>
      <c r="BS38">
        <v>1</v>
      </c>
      <c r="BT38" s="112" t="str">
        <f>REPLACE(INDEX(GroupVertices[Group],MATCH("~"&amp;Edges[[#This Row],[Vertex 1]],GroupVertices[Vertex],0)),1,1,"")</f>
        <v>3</v>
      </c>
      <c r="BU38" s="112" t="str">
        <f>REPLACE(INDEX(GroupVertices[Group],MATCH("~"&amp;Edges[[#This Row],[Vertex 2]],GroupVertices[Vertex],0)),1,1,"")</f>
        <v>3</v>
      </c>
    </row>
    <row r="39" spans="1:73" ht="15">
      <c r="A39" s="59" t="s">
        <v>242</v>
      </c>
      <c r="B39" s="59" t="s">
        <v>357</v>
      </c>
      <c r="C39" s="60"/>
      <c r="D39" s="61"/>
      <c r="E39" s="62"/>
      <c r="F39" s="63"/>
      <c r="G39" s="60"/>
      <c r="H39" s="64"/>
      <c r="I39" s="65"/>
      <c r="J39" s="65"/>
      <c r="K39" s="30" t="s">
        <v>65</v>
      </c>
      <c r="L39" s="72">
        <v>39</v>
      </c>
      <c r="M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9" s="67"/>
      <c r="O39" t="s">
        <v>481</v>
      </c>
      <c r="P39" s="73">
        <v>44547.92831018518</v>
      </c>
      <c r="Q39" t="s">
        <v>519</v>
      </c>
      <c r="R39">
        <v>0</v>
      </c>
      <c r="S39">
        <v>0</v>
      </c>
      <c r="T39">
        <v>0</v>
      </c>
      <c r="U39">
        <v>0</v>
      </c>
      <c r="X39" s="75" t="str">
        <f>HYPERLINK("https://chng.it/K4pfyT7w")</f>
        <v>https://chng.it/K4pfyT7w</v>
      </c>
      <c r="Y39" t="s">
        <v>711</v>
      </c>
      <c r="Z39" t="s">
        <v>357</v>
      </c>
      <c r="AC39" s="74" t="s">
        <v>787</v>
      </c>
      <c r="AD39" t="s">
        <v>794</v>
      </c>
      <c r="AE39" s="75" t="str">
        <f>HYPERLINK("https://twitter.com/arif_hakim86/status/1471967633926868995")</f>
        <v>https://twitter.com/arif_hakim86/status/1471967633926868995</v>
      </c>
      <c r="AF39" s="73">
        <v>44547.92831018518</v>
      </c>
      <c r="AG39" s="77">
        <v>44547</v>
      </c>
      <c r="AH39" s="74" t="s">
        <v>833</v>
      </c>
      <c r="AI39" t="b">
        <v>0</v>
      </c>
      <c r="AV39" s="75" t="str">
        <f>HYPERLINK("https://pbs.twimg.com/profile_images/1296768117436121088/Flj7WTWI_normal.jpg")</f>
        <v>https://pbs.twimg.com/profile_images/1296768117436121088/Flj7WTWI_normal.jpg</v>
      </c>
      <c r="AW39" s="74" t="s">
        <v>1054</v>
      </c>
      <c r="AX39" s="74" t="s">
        <v>1054</v>
      </c>
      <c r="AZ39" s="74" t="s">
        <v>1384</v>
      </c>
      <c r="BA39" s="74" t="s">
        <v>1384</v>
      </c>
      <c r="BB39" s="74" t="s">
        <v>1384</v>
      </c>
      <c r="BC39" s="74" t="s">
        <v>1054</v>
      </c>
      <c r="BD39">
        <v>163947327</v>
      </c>
      <c r="BJ39" s="44">
        <v>4</v>
      </c>
      <c r="BK39" s="45">
        <v>28.571428571428573</v>
      </c>
      <c r="BL39" s="44">
        <v>0</v>
      </c>
      <c r="BM39" s="45">
        <v>0</v>
      </c>
      <c r="BN39" s="44">
        <v>0</v>
      </c>
      <c r="BO39" s="45">
        <v>0</v>
      </c>
      <c r="BP39" s="44">
        <v>10</v>
      </c>
      <c r="BQ39" s="45">
        <v>71.42857142857143</v>
      </c>
      <c r="BR39" s="44">
        <v>14</v>
      </c>
      <c r="BS39">
        <v>8</v>
      </c>
      <c r="BT39" s="112" t="str">
        <f>REPLACE(INDEX(GroupVertices[Group],MATCH("~"&amp;Edges[[#This Row],[Vertex 1]],GroupVertices[Vertex],0)),1,1,"")</f>
        <v>6</v>
      </c>
      <c r="BU39" s="112" t="str">
        <f>REPLACE(INDEX(GroupVertices[Group],MATCH("~"&amp;Edges[[#This Row],[Vertex 2]],GroupVertices[Vertex],0)),1,1,"")</f>
        <v>6</v>
      </c>
    </row>
    <row r="40" spans="1:73" ht="15">
      <c r="A40" s="59" t="s">
        <v>243</v>
      </c>
      <c r="B40" s="59" t="s">
        <v>334</v>
      </c>
      <c r="C40" s="60"/>
      <c r="D40" s="61"/>
      <c r="E40" s="62"/>
      <c r="F40" s="63"/>
      <c r="G40" s="60"/>
      <c r="H40" s="64"/>
      <c r="I40" s="65"/>
      <c r="J40" s="65"/>
      <c r="K40" s="30" t="s">
        <v>65</v>
      </c>
      <c r="L40" s="72">
        <v>40</v>
      </c>
      <c r="M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0" s="67"/>
      <c r="O40" t="s">
        <v>482</v>
      </c>
      <c r="P40" s="73">
        <v>44550.1225462963</v>
      </c>
      <c r="Q40" t="s">
        <v>520</v>
      </c>
      <c r="R40">
        <v>0</v>
      </c>
      <c r="S40">
        <v>0</v>
      </c>
      <c r="T40">
        <v>0</v>
      </c>
      <c r="U40">
        <v>0</v>
      </c>
      <c r="Z40" t="s">
        <v>334</v>
      </c>
      <c r="AC40" s="74" t="s">
        <v>789</v>
      </c>
      <c r="AD40" t="s">
        <v>794</v>
      </c>
      <c r="AE40" s="75" t="str">
        <f>HYPERLINK("https://twitter.com/saibooali/status/1472762799570907136")</f>
        <v>https://twitter.com/saibooali/status/1472762799570907136</v>
      </c>
      <c r="AF40" s="73">
        <v>44550.1225462963</v>
      </c>
      <c r="AG40" s="77">
        <v>44550</v>
      </c>
      <c r="AH40" s="74" t="s">
        <v>834</v>
      </c>
      <c r="AV40" s="75" t="str">
        <f>HYPERLINK("https://pbs.twimg.com/profile_images/1614982638250659841/IPTjvBjf_normal.jpg")</f>
        <v>https://pbs.twimg.com/profile_images/1614982638250659841/IPTjvBjf_normal.jpg</v>
      </c>
      <c r="AW40" s="74" t="s">
        <v>1055</v>
      </c>
      <c r="AX40" s="74" t="s">
        <v>1250</v>
      </c>
      <c r="AY40" s="74" t="s">
        <v>1327</v>
      </c>
      <c r="AZ40" s="74" t="s">
        <v>1250</v>
      </c>
      <c r="BA40" s="74" t="s">
        <v>1384</v>
      </c>
      <c r="BB40" s="74" t="s">
        <v>1384</v>
      </c>
      <c r="BC40" s="74" t="s">
        <v>1250</v>
      </c>
      <c r="BD40">
        <v>3181369904</v>
      </c>
      <c r="BJ40" s="44">
        <v>3</v>
      </c>
      <c r="BK40" s="45">
        <v>75</v>
      </c>
      <c r="BL40" s="44">
        <v>0</v>
      </c>
      <c r="BM40" s="45">
        <v>0</v>
      </c>
      <c r="BN40" s="44">
        <v>0</v>
      </c>
      <c r="BO40" s="45">
        <v>0</v>
      </c>
      <c r="BP40" s="44">
        <v>1</v>
      </c>
      <c r="BQ40" s="45">
        <v>25</v>
      </c>
      <c r="BR40" s="44">
        <v>4</v>
      </c>
      <c r="BS40">
        <v>1</v>
      </c>
      <c r="BT40" s="112" t="str">
        <f>REPLACE(INDEX(GroupVertices[Group],MATCH("~"&amp;Edges[[#This Row],[Vertex 1]],GroupVertices[Vertex],0)),1,1,"")</f>
        <v>4</v>
      </c>
      <c r="BU40" s="112" t="str">
        <f>REPLACE(INDEX(GroupVertices[Group],MATCH("~"&amp;Edges[[#This Row],[Vertex 2]],GroupVertices[Vertex],0)),1,1,"")</f>
        <v>4</v>
      </c>
    </row>
    <row r="41" spans="1:73" ht="15">
      <c r="A41" s="59" t="s">
        <v>244</v>
      </c>
      <c r="B41" s="59" t="s">
        <v>337</v>
      </c>
      <c r="C41" s="60"/>
      <c r="D41" s="61"/>
      <c r="E41" s="62"/>
      <c r="F41" s="63"/>
      <c r="G41" s="60"/>
      <c r="H41" s="64"/>
      <c r="I41" s="65"/>
      <c r="J41" s="65"/>
      <c r="K41" s="30" t="s">
        <v>65</v>
      </c>
      <c r="L41" s="72">
        <v>41</v>
      </c>
      <c r="M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1" s="67"/>
      <c r="O41" t="s">
        <v>484</v>
      </c>
      <c r="P41" s="73">
        <v>44645.02274305555</v>
      </c>
      <c r="Q41" t="s">
        <v>521</v>
      </c>
      <c r="R41">
        <v>0</v>
      </c>
      <c r="S41">
        <v>0</v>
      </c>
      <c r="T41">
        <v>0</v>
      </c>
      <c r="U41">
        <v>0</v>
      </c>
      <c r="AC41" s="74" t="s">
        <v>787</v>
      </c>
      <c r="AD41" t="s">
        <v>794</v>
      </c>
      <c r="AE41" s="75" t="str">
        <f>HYPERLINK("https://twitter.com/pahmilubis10/status/1507153478501937152")</f>
        <v>https://twitter.com/pahmilubis10/status/1507153478501937152</v>
      </c>
      <c r="AF41" s="73">
        <v>44645.02274305555</v>
      </c>
      <c r="AG41" s="77">
        <v>44645</v>
      </c>
      <c r="AH41" s="74" t="s">
        <v>835</v>
      </c>
      <c r="AV41" s="75" t="str">
        <f>HYPERLINK("https://pbs.twimg.com/profile_images/1462267659978887168/SvR_oFeR_normal.jpg")</f>
        <v>https://pbs.twimg.com/profile_images/1462267659978887168/SvR_oFeR_normal.jpg</v>
      </c>
      <c r="AW41" s="74" t="s">
        <v>1056</v>
      </c>
      <c r="AX41" s="74" t="s">
        <v>1056</v>
      </c>
      <c r="AZ41" s="74" t="s">
        <v>1384</v>
      </c>
      <c r="BA41" s="74" t="s">
        <v>1212</v>
      </c>
      <c r="BB41" s="74" t="s">
        <v>1384</v>
      </c>
      <c r="BC41" s="74" t="s">
        <v>1212</v>
      </c>
      <c r="BD41" s="74" t="s">
        <v>1415</v>
      </c>
      <c r="BJ41" s="44">
        <v>3</v>
      </c>
      <c r="BK41" s="45">
        <v>27.272727272727273</v>
      </c>
      <c r="BL41" s="44">
        <v>0</v>
      </c>
      <c r="BM41" s="45">
        <v>0</v>
      </c>
      <c r="BN41" s="44">
        <v>0</v>
      </c>
      <c r="BO41" s="45">
        <v>0</v>
      </c>
      <c r="BP41" s="44">
        <v>8</v>
      </c>
      <c r="BQ41" s="45">
        <v>72.72727272727273</v>
      </c>
      <c r="BR41" s="44">
        <v>11</v>
      </c>
      <c r="BS41">
        <v>1</v>
      </c>
      <c r="BT41" s="112" t="str">
        <f>REPLACE(INDEX(GroupVertices[Group],MATCH("~"&amp;Edges[[#This Row],[Vertex 1]],GroupVertices[Vertex],0)),1,1,"")</f>
        <v>5</v>
      </c>
      <c r="BU41" s="112" t="str">
        <f>REPLACE(INDEX(GroupVertices[Group],MATCH("~"&amp;Edges[[#This Row],[Vertex 2]],GroupVertices[Vertex],0)),1,1,"")</f>
        <v>5</v>
      </c>
    </row>
    <row r="42" spans="1:73" ht="15">
      <c r="A42" s="59" t="s">
        <v>245</v>
      </c>
      <c r="B42" s="59" t="s">
        <v>357</v>
      </c>
      <c r="C42" s="60"/>
      <c r="D42" s="61"/>
      <c r="E42" s="62"/>
      <c r="F42" s="63"/>
      <c r="G42" s="60"/>
      <c r="H42" s="64"/>
      <c r="I42" s="65"/>
      <c r="J42" s="65"/>
      <c r="K42" s="30" t="s">
        <v>65</v>
      </c>
      <c r="L42" s="72">
        <v>42</v>
      </c>
      <c r="M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2" s="67"/>
      <c r="O42" t="s">
        <v>481</v>
      </c>
      <c r="P42" s="73">
        <v>44555.12694444445</v>
      </c>
      <c r="Q42" t="s">
        <v>522</v>
      </c>
      <c r="R42">
        <v>0</v>
      </c>
      <c r="S42">
        <v>1</v>
      </c>
      <c r="T42">
        <v>0</v>
      </c>
      <c r="U42">
        <v>0</v>
      </c>
      <c r="X42" s="75" t="str">
        <f>HYPERLINK("https://chng.it/XpRxqxpy")</f>
        <v>https://chng.it/XpRxqxpy</v>
      </c>
      <c r="Y42" t="s">
        <v>711</v>
      </c>
      <c r="Z42" t="s">
        <v>357</v>
      </c>
      <c r="AC42" s="74" t="s">
        <v>786</v>
      </c>
      <c r="AD42" t="s">
        <v>794</v>
      </c>
      <c r="AE42" s="75" t="str">
        <f>HYPERLINK("https://twitter.com/bonco19/status/1474576330125574146")</f>
        <v>https://twitter.com/bonco19/status/1474576330125574146</v>
      </c>
      <c r="AF42" s="73">
        <v>44555.12694444445</v>
      </c>
      <c r="AG42" s="77">
        <v>44555</v>
      </c>
      <c r="AH42" s="74" t="s">
        <v>836</v>
      </c>
      <c r="AI42" t="b">
        <v>0</v>
      </c>
      <c r="AV42" s="75" t="str">
        <f>HYPERLINK("https://pbs.twimg.com/profile_images/1210455325553254400/hZBCLWzB_normal.jpg")</f>
        <v>https://pbs.twimg.com/profile_images/1210455325553254400/hZBCLWzB_normal.jpg</v>
      </c>
      <c r="AW42" s="74" t="s">
        <v>1057</v>
      </c>
      <c r="AX42" s="74" t="s">
        <v>1057</v>
      </c>
      <c r="AZ42" s="74" t="s">
        <v>1384</v>
      </c>
      <c r="BA42" s="74" t="s">
        <v>1384</v>
      </c>
      <c r="BB42" s="74" t="s">
        <v>1384</v>
      </c>
      <c r="BC42" s="74" t="s">
        <v>1057</v>
      </c>
      <c r="BD42">
        <v>34505885</v>
      </c>
      <c r="BJ42" s="44">
        <v>6</v>
      </c>
      <c r="BK42" s="45">
        <v>40</v>
      </c>
      <c r="BL42" s="44">
        <v>0</v>
      </c>
      <c r="BM42" s="45">
        <v>0</v>
      </c>
      <c r="BN42" s="44">
        <v>0</v>
      </c>
      <c r="BO42" s="45">
        <v>0</v>
      </c>
      <c r="BP42" s="44">
        <v>9</v>
      </c>
      <c r="BQ42" s="45">
        <v>60</v>
      </c>
      <c r="BR42" s="44">
        <v>15</v>
      </c>
      <c r="BS42">
        <v>1</v>
      </c>
      <c r="BT42" s="112" t="str">
        <f>REPLACE(INDEX(GroupVertices[Group],MATCH("~"&amp;Edges[[#This Row],[Vertex 1]],GroupVertices[Vertex],0)),1,1,"")</f>
        <v>6</v>
      </c>
      <c r="BU42" s="112" t="str">
        <f>REPLACE(INDEX(GroupVertices[Group],MATCH("~"&amp;Edges[[#This Row],[Vertex 2]],GroupVertices[Vertex],0)),1,1,"")</f>
        <v>6</v>
      </c>
    </row>
    <row r="43" spans="1:73" ht="15">
      <c r="A43" s="59" t="s">
        <v>245</v>
      </c>
      <c r="B43" s="59" t="s">
        <v>358</v>
      </c>
      <c r="C43" s="60"/>
      <c r="D43" s="61"/>
      <c r="E43" s="62"/>
      <c r="F43" s="63"/>
      <c r="G43" s="60"/>
      <c r="H43" s="64"/>
      <c r="I43" s="65"/>
      <c r="J43" s="65"/>
      <c r="K43" s="30" t="s">
        <v>65</v>
      </c>
      <c r="L43" s="72">
        <v>43</v>
      </c>
      <c r="M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3" s="67"/>
      <c r="O43" t="s">
        <v>482</v>
      </c>
      <c r="P43" s="73">
        <v>44597.98535879629</v>
      </c>
      <c r="Q43" t="s">
        <v>523</v>
      </c>
      <c r="R43">
        <v>0</v>
      </c>
      <c r="S43">
        <v>0</v>
      </c>
      <c r="T43">
        <v>0</v>
      </c>
      <c r="U43">
        <v>0</v>
      </c>
      <c r="Z43" t="s">
        <v>358</v>
      </c>
      <c r="AC43" s="74" t="s">
        <v>787</v>
      </c>
      <c r="AD43" t="s">
        <v>794</v>
      </c>
      <c r="AE43" s="75" t="str">
        <f>HYPERLINK("https://twitter.com/bonco19/status/1490107699979186176")</f>
        <v>https://twitter.com/bonco19/status/1490107699979186176</v>
      </c>
      <c r="AF43" s="73">
        <v>44597.98535879629</v>
      </c>
      <c r="AG43" s="77">
        <v>44597</v>
      </c>
      <c r="AH43" s="74" t="s">
        <v>837</v>
      </c>
      <c r="AV43" s="75" t="str">
        <f>HYPERLINK("https://pbs.twimg.com/profile_images/1210455325553254400/hZBCLWzB_normal.jpg")</f>
        <v>https://pbs.twimg.com/profile_images/1210455325553254400/hZBCLWzB_normal.jpg</v>
      </c>
      <c r="AW43" s="74" t="s">
        <v>1058</v>
      </c>
      <c r="AX43" s="74" t="s">
        <v>1251</v>
      </c>
      <c r="AY43" s="74" t="s">
        <v>1335</v>
      </c>
      <c r="AZ43" s="74" t="s">
        <v>1251</v>
      </c>
      <c r="BA43" s="74" t="s">
        <v>1384</v>
      </c>
      <c r="BB43" s="74" t="s">
        <v>1384</v>
      </c>
      <c r="BC43" s="74" t="s">
        <v>1251</v>
      </c>
      <c r="BD43">
        <v>34505885</v>
      </c>
      <c r="BJ43" s="44">
        <v>3</v>
      </c>
      <c r="BK43" s="45">
        <v>75</v>
      </c>
      <c r="BL43" s="44">
        <v>0</v>
      </c>
      <c r="BM43" s="45">
        <v>0</v>
      </c>
      <c r="BN43" s="44">
        <v>0</v>
      </c>
      <c r="BO43" s="45">
        <v>0</v>
      </c>
      <c r="BP43" s="44">
        <v>1</v>
      </c>
      <c r="BQ43" s="45">
        <v>25</v>
      </c>
      <c r="BR43" s="44">
        <v>4</v>
      </c>
      <c r="BS43">
        <v>1</v>
      </c>
      <c r="BT43" s="112" t="str">
        <f>REPLACE(INDEX(GroupVertices[Group],MATCH("~"&amp;Edges[[#This Row],[Vertex 1]],GroupVertices[Vertex],0)),1,1,"")</f>
        <v>6</v>
      </c>
      <c r="BU43" s="112" t="str">
        <f>REPLACE(INDEX(GroupVertices[Group],MATCH("~"&amp;Edges[[#This Row],[Vertex 2]],GroupVertices[Vertex],0)),1,1,"")</f>
        <v>6</v>
      </c>
    </row>
    <row r="44" spans="1:73" ht="15">
      <c r="A44" s="59" t="s">
        <v>245</v>
      </c>
      <c r="B44" s="59" t="s">
        <v>314</v>
      </c>
      <c r="C44" s="60"/>
      <c r="D44" s="61"/>
      <c r="E44" s="62"/>
      <c r="F44" s="63"/>
      <c r="G44" s="60"/>
      <c r="H44" s="64"/>
      <c r="I44" s="65"/>
      <c r="J44" s="65"/>
      <c r="K44" s="30" t="s">
        <v>65</v>
      </c>
      <c r="L44" s="72">
        <v>44</v>
      </c>
      <c r="M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4" s="67"/>
      <c r="O44" t="s">
        <v>484</v>
      </c>
      <c r="P44" s="73">
        <v>44558.0297337963</v>
      </c>
      <c r="Q44" t="s">
        <v>524</v>
      </c>
      <c r="R44">
        <v>0</v>
      </c>
      <c r="S44">
        <v>0</v>
      </c>
      <c r="T44">
        <v>0</v>
      </c>
      <c r="U44">
        <v>0</v>
      </c>
      <c r="AC44" s="74" t="s">
        <v>787</v>
      </c>
      <c r="AD44" t="s">
        <v>794</v>
      </c>
      <c r="AE44" s="75" t="str">
        <f>HYPERLINK("https://twitter.com/bonco19/status/1475628268409978887")</f>
        <v>https://twitter.com/bonco19/status/1475628268409978887</v>
      </c>
      <c r="AF44" s="73">
        <v>44558.0297337963</v>
      </c>
      <c r="AG44" s="77">
        <v>44558</v>
      </c>
      <c r="AH44" s="74" t="s">
        <v>838</v>
      </c>
      <c r="AV44" s="75" t="str">
        <f>HYPERLINK("https://pbs.twimg.com/profile_images/1210455325553254400/hZBCLWzB_normal.jpg")</f>
        <v>https://pbs.twimg.com/profile_images/1210455325553254400/hZBCLWzB_normal.jpg</v>
      </c>
      <c r="AW44" s="74" t="s">
        <v>1059</v>
      </c>
      <c r="AX44" s="74" t="s">
        <v>1059</v>
      </c>
      <c r="AZ44" s="74" t="s">
        <v>1384</v>
      </c>
      <c r="BA44" s="74" t="s">
        <v>1171</v>
      </c>
      <c r="BB44" s="74" t="s">
        <v>1384</v>
      </c>
      <c r="BC44" s="74" t="s">
        <v>1171</v>
      </c>
      <c r="BD44">
        <v>34505885</v>
      </c>
      <c r="BJ44" s="44">
        <v>4</v>
      </c>
      <c r="BK44" s="45">
        <v>66.66666666666667</v>
      </c>
      <c r="BL44" s="44">
        <v>0</v>
      </c>
      <c r="BM44" s="45">
        <v>0</v>
      </c>
      <c r="BN44" s="44">
        <v>0</v>
      </c>
      <c r="BO44" s="45">
        <v>0</v>
      </c>
      <c r="BP44" s="44">
        <v>2</v>
      </c>
      <c r="BQ44" s="45">
        <v>33.333333333333336</v>
      </c>
      <c r="BR44" s="44">
        <v>6</v>
      </c>
      <c r="BS44">
        <v>1</v>
      </c>
      <c r="BT44" s="112" t="str">
        <f>REPLACE(INDEX(GroupVertices[Group],MATCH("~"&amp;Edges[[#This Row],[Vertex 1]],GroupVertices[Vertex],0)),1,1,"")</f>
        <v>6</v>
      </c>
      <c r="BU44" s="112" t="str">
        <f>REPLACE(INDEX(GroupVertices[Group],MATCH("~"&amp;Edges[[#This Row],[Vertex 2]],GroupVertices[Vertex],0)),1,1,"")</f>
        <v>11</v>
      </c>
    </row>
    <row r="45" spans="1:73" ht="15">
      <c r="A45" s="59" t="s">
        <v>245</v>
      </c>
      <c r="B45" s="59" t="s">
        <v>223</v>
      </c>
      <c r="C45" s="60"/>
      <c r="D45" s="61"/>
      <c r="E45" s="62"/>
      <c r="F45" s="63"/>
      <c r="G45" s="60"/>
      <c r="H45" s="64"/>
      <c r="I45" s="65"/>
      <c r="J45" s="65"/>
      <c r="K45" s="30" t="s">
        <v>65</v>
      </c>
      <c r="L45" s="72">
        <v>45</v>
      </c>
      <c r="M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5" s="67"/>
      <c r="O45" t="s">
        <v>484</v>
      </c>
      <c r="P45" s="73">
        <v>44556.22386574074</v>
      </c>
      <c r="Q45" t="s">
        <v>525</v>
      </c>
      <c r="R45">
        <v>0</v>
      </c>
      <c r="S45">
        <v>1</v>
      </c>
      <c r="T45">
        <v>0</v>
      </c>
      <c r="U45">
        <v>0</v>
      </c>
      <c r="AC45" s="74" t="s">
        <v>786</v>
      </c>
      <c r="AD45" t="s">
        <v>794</v>
      </c>
      <c r="AE45" s="75" t="str">
        <f>HYPERLINK("https://twitter.com/bonco19/status/1474973841092792324")</f>
        <v>https://twitter.com/bonco19/status/1474973841092792324</v>
      </c>
      <c r="AF45" s="73">
        <v>44556.22386574074</v>
      </c>
      <c r="AG45" s="77">
        <v>44556</v>
      </c>
      <c r="AH45" s="74" t="s">
        <v>839</v>
      </c>
      <c r="AV45" s="75" t="str">
        <f>HYPERLINK("https://pbs.twimg.com/profile_images/1210455325553254400/hZBCLWzB_normal.jpg")</f>
        <v>https://pbs.twimg.com/profile_images/1210455325553254400/hZBCLWzB_normal.jpg</v>
      </c>
      <c r="AW45" s="74" t="s">
        <v>1060</v>
      </c>
      <c r="AX45" s="74" t="s">
        <v>1060</v>
      </c>
      <c r="AZ45" s="74" t="s">
        <v>1384</v>
      </c>
      <c r="BA45" s="74" t="s">
        <v>1132</v>
      </c>
      <c r="BB45" s="74" t="s">
        <v>1384</v>
      </c>
      <c r="BC45" s="74" t="s">
        <v>1132</v>
      </c>
      <c r="BD45">
        <v>34505885</v>
      </c>
      <c r="BJ45" s="44">
        <v>3</v>
      </c>
      <c r="BK45" s="45">
        <v>100</v>
      </c>
      <c r="BL45" s="44">
        <v>0</v>
      </c>
      <c r="BM45" s="45">
        <v>0</v>
      </c>
      <c r="BN45" s="44">
        <v>0</v>
      </c>
      <c r="BO45" s="45">
        <v>0</v>
      </c>
      <c r="BP45" s="44">
        <v>0</v>
      </c>
      <c r="BQ45" s="45">
        <v>0</v>
      </c>
      <c r="BR45" s="44">
        <v>3</v>
      </c>
      <c r="BS45">
        <v>1</v>
      </c>
      <c r="BT45" s="112" t="str">
        <f>REPLACE(INDEX(GroupVertices[Group],MATCH("~"&amp;Edges[[#This Row],[Vertex 1]],GroupVertices[Vertex],0)),1,1,"")</f>
        <v>6</v>
      </c>
      <c r="BU45" s="112" t="str">
        <f>REPLACE(INDEX(GroupVertices[Group],MATCH("~"&amp;Edges[[#This Row],[Vertex 2]],GroupVertices[Vertex],0)),1,1,"")</f>
        <v>6</v>
      </c>
    </row>
    <row r="46" spans="1:73" ht="15">
      <c r="A46" s="59" t="s">
        <v>245</v>
      </c>
      <c r="B46" s="59" t="s">
        <v>341</v>
      </c>
      <c r="C46" s="60"/>
      <c r="D46" s="61"/>
      <c r="E46" s="62"/>
      <c r="F46" s="63"/>
      <c r="G46" s="60"/>
      <c r="H46" s="64"/>
      <c r="I46" s="65"/>
      <c r="J46" s="65"/>
      <c r="K46" s="30" t="s">
        <v>65</v>
      </c>
      <c r="L46" s="72">
        <v>46</v>
      </c>
      <c r="M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6" s="67"/>
      <c r="O46" t="s">
        <v>482</v>
      </c>
      <c r="P46" s="73">
        <v>44573.2547337963</v>
      </c>
      <c r="Q46" t="s">
        <v>526</v>
      </c>
      <c r="R46">
        <v>0</v>
      </c>
      <c r="S46">
        <v>0</v>
      </c>
      <c r="T46">
        <v>0</v>
      </c>
      <c r="U46">
        <v>0</v>
      </c>
      <c r="W46" s="74" t="s">
        <v>682</v>
      </c>
      <c r="Z46" t="s">
        <v>341</v>
      </c>
      <c r="AC46" s="74" t="s">
        <v>787</v>
      </c>
      <c r="AD46" t="s">
        <v>794</v>
      </c>
      <c r="AE46" s="75" t="str">
        <f>HYPERLINK("https://twitter.com/bonco19/status/1481145623726686209")</f>
        <v>https://twitter.com/bonco19/status/1481145623726686209</v>
      </c>
      <c r="AF46" s="73">
        <v>44573.2547337963</v>
      </c>
      <c r="AG46" s="77">
        <v>44573</v>
      </c>
      <c r="AH46" s="74" t="s">
        <v>840</v>
      </c>
      <c r="AV46" s="75" t="str">
        <f>HYPERLINK("https://pbs.twimg.com/profile_images/1210455325553254400/hZBCLWzB_normal.jpg")</f>
        <v>https://pbs.twimg.com/profile_images/1210455325553254400/hZBCLWzB_normal.jpg</v>
      </c>
      <c r="AW46" s="74" t="s">
        <v>1061</v>
      </c>
      <c r="AX46" s="74" t="s">
        <v>1242</v>
      </c>
      <c r="AY46" s="74" t="s">
        <v>1328</v>
      </c>
      <c r="AZ46" s="74" t="s">
        <v>1242</v>
      </c>
      <c r="BA46" s="74" t="s">
        <v>1384</v>
      </c>
      <c r="BB46" s="74" t="s">
        <v>1384</v>
      </c>
      <c r="BC46" s="74" t="s">
        <v>1242</v>
      </c>
      <c r="BD46">
        <v>34505885</v>
      </c>
      <c r="BJ46" s="44">
        <v>3</v>
      </c>
      <c r="BK46" s="45">
        <v>30</v>
      </c>
      <c r="BL46" s="44">
        <v>0</v>
      </c>
      <c r="BM46" s="45">
        <v>0</v>
      </c>
      <c r="BN46" s="44">
        <v>0</v>
      </c>
      <c r="BO46" s="45">
        <v>0</v>
      </c>
      <c r="BP46" s="44">
        <v>7</v>
      </c>
      <c r="BQ46" s="45">
        <v>70</v>
      </c>
      <c r="BR46" s="44">
        <v>10</v>
      </c>
      <c r="BS46">
        <v>27</v>
      </c>
      <c r="BT46" s="112" t="str">
        <f>REPLACE(INDEX(GroupVertices[Group],MATCH("~"&amp;Edges[[#This Row],[Vertex 1]],GroupVertices[Vertex],0)),1,1,"")</f>
        <v>6</v>
      </c>
      <c r="BU46" s="112" t="str">
        <f>REPLACE(INDEX(GroupVertices[Group],MATCH("~"&amp;Edges[[#This Row],[Vertex 2]],GroupVertices[Vertex],0)),1,1,"")</f>
        <v>6</v>
      </c>
    </row>
    <row r="47" spans="1:73" ht="15">
      <c r="A47" s="59" t="s">
        <v>245</v>
      </c>
      <c r="B47" s="59" t="s">
        <v>245</v>
      </c>
      <c r="C47" s="60"/>
      <c r="D47" s="61"/>
      <c r="E47" s="62"/>
      <c r="F47" s="63"/>
      <c r="G47" s="60"/>
      <c r="H47" s="64"/>
      <c r="I47" s="65"/>
      <c r="J47" s="65"/>
      <c r="K47" s="30" t="s">
        <v>65</v>
      </c>
      <c r="L47" s="72">
        <v>47</v>
      </c>
      <c r="M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7" s="67"/>
      <c r="O47" t="s">
        <v>177</v>
      </c>
      <c r="P47" s="73">
        <v>44579.5528587963</v>
      </c>
      <c r="Q47" t="s">
        <v>527</v>
      </c>
      <c r="R47">
        <v>0</v>
      </c>
      <c r="S47">
        <v>1</v>
      </c>
      <c r="T47">
        <v>0</v>
      </c>
      <c r="U47">
        <v>0</v>
      </c>
      <c r="W47" s="74" t="s">
        <v>685</v>
      </c>
      <c r="AC47" s="74" t="s">
        <v>786</v>
      </c>
      <c r="AD47" t="s">
        <v>794</v>
      </c>
      <c r="AE47" s="75" t="str">
        <f>HYPERLINK("https://twitter.com/bonco19/status/1483427985881731075")</f>
        <v>https://twitter.com/bonco19/status/1483427985881731075</v>
      </c>
      <c r="AF47" s="73">
        <v>44579.5528587963</v>
      </c>
      <c r="AG47" s="77">
        <v>44579</v>
      </c>
      <c r="AH47" s="74" t="s">
        <v>841</v>
      </c>
      <c r="AV47" s="75" t="str">
        <f>HYPERLINK("https://pbs.twimg.com/profile_images/1210455325553254400/hZBCLWzB_normal.jpg")</f>
        <v>https://pbs.twimg.com/profile_images/1210455325553254400/hZBCLWzB_normal.jpg</v>
      </c>
      <c r="AW47" s="74" t="s">
        <v>1062</v>
      </c>
      <c r="AX47" s="74" t="s">
        <v>1062</v>
      </c>
      <c r="AZ47" s="74" t="s">
        <v>1384</v>
      </c>
      <c r="BA47" s="74" t="s">
        <v>1384</v>
      </c>
      <c r="BB47" s="74" t="s">
        <v>1384</v>
      </c>
      <c r="BC47" s="74" t="s">
        <v>1062</v>
      </c>
      <c r="BD47">
        <v>34505885</v>
      </c>
      <c r="BJ47" s="44">
        <v>4</v>
      </c>
      <c r="BK47" s="45">
        <v>13.793103448275861</v>
      </c>
      <c r="BL47" s="44">
        <v>1</v>
      </c>
      <c r="BM47" s="45">
        <v>3.4482758620689653</v>
      </c>
      <c r="BN47" s="44">
        <v>0</v>
      </c>
      <c r="BO47" s="45">
        <v>0</v>
      </c>
      <c r="BP47" s="44">
        <v>24</v>
      </c>
      <c r="BQ47" s="45">
        <v>82.75862068965517</v>
      </c>
      <c r="BR47" s="44">
        <v>29</v>
      </c>
      <c r="BS47">
        <v>8</v>
      </c>
      <c r="BT47" s="112" t="str">
        <f>REPLACE(INDEX(GroupVertices[Group],MATCH("~"&amp;Edges[[#This Row],[Vertex 1]],GroupVertices[Vertex],0)),1,1,"")</f>
        <v>6</v>
      </c>
      <c r="BU47" s="112" t="str">
        <f>REPLACE(INDEX(GroupVertices[Group],MATCH("~"&amp;Edges[[#This Row],[Vertex 2]],GroupVertices[Vertex],0)),1,1,"")</f>
        <v>6</v>
      </c>
    </row>
    <row r="48" spans="1:73" ht="15">
      <c r="A48" s="59" t="s">
        <v>246</v>
      </c>
      <c r="B48" s="59" t="s">
        <v>341</v>
      </c>
      <c r="C48" s="60"/>
      <c r="D48" s="61"/>
      <c r="E48" s="62"/>
      <c r="F48" s="63"/>
      <c r="G48" s="60"/>
      <c r="H48" s="64"/>
      <c r="I48" s="65"/>
      <c r="J48" s="65"/>
      <c r="K48" s="30" t="s">
        <v>65</v>
      </c>
      <c r="L48" s="72">
        <v>48</v>
      </c>
      <c r="M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8" s="67"/>
      <c r="O48" t="s">
        <v>484</v>
      </c>
      <c r="P48" s="73">
        <v>44572.320081018515</v>
      </c>
      <c r="Q48" t="s">
        <v>528</v>
      </c>
      <c r="R48">
        <v>0</v>
      </c>
      <c r="S48">
        <v>1</v>
      </c>
      <c r="T48">
        <v>0</v>
      </c>
      <c r="U48">
        <v>0</v>
      </c>
      <c r="W48" s="74" t="s">
        <v>682</v>
      </c>
      <c r="AC48" s="74" t="s">
        <v>787</v>
      </c>
      <c r="AD48" t="s">
        <v>797</v>
      </c>
      <c r="AE48" s="75" t="str">
        <f>HYPERLINK("https://twitter.com/pakkumi93921831/status/1480806916561408000")</f>
        <v>https://twitter.com/pakkumi93921831/status/1480806916561408000</v>
      </c>
      <c r="AF48" s="73">
        <v>44572.320081018515</v>
      </c>
      <c r="AG48" s="77">
        <v>44572</v>
      </c>
      <c r="AH48" s="74" t="s">
        <v>842</v>
      </c>
      <c r="AV48" s="75" t="str">
        <f>HYPERLINK("https://pbs.twimg.com/profile_images/1335250083495911424/nQPnANJj_normal.jpg")</f>
        <v>https://pbs.twimg.com/profile_images/1335250083495911424/nQPnANJj_normal.jpg</v>
      </c>
      <c r="AW48" s="74" t="s">
        <v>1063</v>
      </c>
      <c r="AX48" s="74" t="s">
        <v>1063</v>
      </c>
      <c r="AZ48" s="74" t="s">
        <v>1384</v>
      </c>
      <c r="BA48" s="74" t="s">
        <v>1223</v>
      </c>
      <c r="BB48" s="74" t="s">
        <v>1384</v>
      </c>
      <c r="BC48" s="74" t="s">
        <v>1223</v>
      </c>
      <c r="BD48" s="74" t="s">
        <v>1416</v>
      </c>
      <c r="BJ48" s="44">
        <v>2</v>
      </c>
      <c r="BK48" s="45">
        <v>66.66666666666667</v>
      </c>
      <c r="BL48" s="44">
        <v>0</v>
      </c>
      <c r="BM48" s="45">
        <v>0</v>
      </c>
      <c r="BN48" s="44">
        <v>0</v>
      </c>
      <c r="BO48" s="45">
        <v>0</v>
      </c>
      <c r="BP48" s="44">
        <v>1</v>
      </c>
      <c r="BQ48" s="45">
        <v>33.333333333333336</v>
      </c>
      <c r="BR48" s="44">
        <v>3</v>
      </c>
      <c r="BS48">
        <v>1</v>
      </c>
      <c r="BT48" s="112" t="str">
        <f>REPLACE(INDEX(GroupVertices[Group],MATCH("~"&amp;Edges[[#This Row],[Vertex 1]],GroupVertices[Vertex],0)),1,1,"")</f>
        <v>6</v>
      </c>
      <c r="BU48" s="112" t="str">
        <f>REPLACE(INDEX(GroupVertices[Group],MATCH("~"&amp;Edges[[#This Row],[Vertex 2]],GroupVertices[Vertex],0)),1,1,"")</f>
        <v>6</v>
      </c>
    </row>
    <row r="49" spans="1:73" ht="15">
      <c r="A49" s="59" t="s">
        <v>247</v>
      </c>
      <c r="B49" s="59" t="s">
        <v>359</v>
      </c>
      <c r="C49" s="60"/>
      <c r="D49" s="61"/>
      <c r="E49" s="62"/>
      <c r="F49" s="63"/>
      <c r="G49" s="60"/>
      <c r="H49" s="64"/>
      <c r="I49" s="65"/>
      <c r="J49" s="65"/>
      <c r="K49" s="30" t="s">
        <v>65</v>
      </c>
      <c r="L49" s="72">
        <v>49</v>
      </c>
      <c r="M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9" s="67"/>
      <c r="O49" t="s">
        <v>483</v>
      </c>
      <c r="P49" s="73">
        <v>44788.569710648146</v>
      </c>
      <c r="Q49" t="s">
        <v>529</v>
      </c>
      <c r="R49">
        <v>0</v>
      </c>
      <c r="S49">
        <v>1</v>
      </c>
      <c r="T49">
        <v>0</v>
      </c>
      <c r="U49">
        <v>0</v>
      </c>
      <c r="W49" s="74" t="s">
        <v>682</v>
      </c>
      <c r="Z49" t="s">
        <v>730</v>
      </c>
      <c r="AC49" s="74" t="s">
        <v>787</v>
      </c>
      <c r="AD49" t="s">
        <v>794</v>
      </c>
      <c r="AE49" s="75" t="str">
        <f>HYPERLINK("https://twitter.com/kurnia_awan85/status/1559173157486940160")</f>
        <v>https://twitter.com/kurnia_awan85/status/1559173157486940160</v>
      </c>
      <c r="AF49" s="73">
        <v>44788.569710648146</v>
      </c>
      <c r="AG49" s="77">
        <v>44788</v>
      </c>
      <c r="AH49" s="74" t="s">
        <v>843</v>
      </c>
      <c r="AV49" s="75" t="str">
        <f>HYPERLINK("https://pbs.twimg.com/profile_images/863710851441623042/rD9NF2It_normal.jpg")</f>
        <v>https://pbs.twimg.com/profile_images/863710851441623042/rD9NF2It_normal.jpg</v>
      </c>
      <c r="AW49" s="74" t="s">
        <v>1064</v>
      </c>
      <c r="AX49" s="74" t="s">
        <v>1253</v>
      </c>
      <c r="AY49" s="74" t="s">
        <v>1327</v>
      </c>
      <c r="AZ49" s="74" t="s">
        <v>1253</v>
      </c>
      <c r="BA49" s="74" t="s">
        <v>1384</v>
      </c>
      <c r="BB49" s="74" t="s">
        <v>1384</v>
      </c>
      <c r="BC49" s="74" t="s">
        <v>1253</v>
      </c>
      <c r="BD49" s="74" t="s">
        <v>1417</v>
      </c>
      <c r="BJ49" s="44">
        <v>2</v>
      </c>
      <c r="BK49" s="45">
        <v>7.407407407407407</v>
      </c>
      <c r="BL49" s="44">
        <v>2</v>
      </c>
      <c r="BM49" s="45">
        <v>7.407407407407407</v>
      </c>
      <c r="BN49" s="44">
        <v>0</v>
      </c>
      <c r="BO49" s="45">
        <v>0</v>
      </c>
      <c r="BP49" s="44">
        <v>23</v>
      </c>
      <c r="BQ49" s="45">
        <v>85.18518518518519</v>
      </c>
      <c r="BR49" s="44">
        <v>27</v>
      </c>
      <c r="BS49">
        <v>1</v>
      </c>
      <c r="BT49" s="112" t="str">
        <f>REPLACE(INDEX(GroupVertices[Group],MATCH("~"&amp;Edges[[#This Row],[Vertex 1]],GroupVertices[Vertex],0)),1,1,"")</f>
        <v>4</v>
      </c>
      <c r="BU49" s="112" t="str">
        <f>REPLACE(INDEX(GroupVertices[Group],MATCH("~"&amp;Edges[[#This Row],[Vertex 2]],GroupVertices[Vertex],0)),1,1,"")</f>
        <v>4</v>
      </c>
    </row>
    <row r="50" spans="1:73" ht="15">
      <c r="A50" s="59" t="s">
        <v>247</v>
      </c>
      <c r="B50" s="59" t="s">
        <v>334</v>
      </c>
      <c r="C50" s="60"/>
      <c r="D50" s="61"/>
      <c r="E50" s="62"/>
      <c r="F50" s="63"/>
      <c r="G50" s="60"/>
      <c r="H50" s="64"/>
      <c r="I50" s="65"/>
      <c r="J50" s="65"/>
      <c r="K50" s="30" t="s">
        <v>65</v>
      </c>
      <c r="L50" s="72">
        <v>50</v>
      </c>
      <c r="M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0" s="67"/>
      <c r="O50" t="s">
        <v>482</v>
      </c>
      <c r="P50" s="73">
        <v>44788.569710648146</v>
      </c>
      <c r="Q50" t="s">
        <v>529</v>
      </c>
      <c r="R50">
        <v>0</v>
      </c>
      <c r="S50">
        <v>1</v>
      </c>
      <c r="T50">
        <v>0</v>
      </c>
      <c r="U50">
        <v>0</v>
      </c>
      <c r="W50" s="74" t="s">
        <v>682</v>
      </c>
      <c r="Z50" t="s">
        <v>730</v>
      </c>
      <c r="AC50" s="74" t="s">
        <v>787</v>
      </c>
      <c r="AD50" t="s">
        <v>794</v>
      </c>
      <c r="AE50" s="75" t="str">
        <f>HYPERLINK("https://twitter.com/kurnia_awan85/status/1559173157486940160")</f>
        <v>https://twitter.com/kurnia_awan85/status/1559173157486940160</v>
      </c>
      <c r="AF50" s="73">
        <v>44788.569710648146</v>
      </c>
      <c r="AG50" s="77">
        <v>44788</v>
      </c>
      <c r="AH50" s="74" t="s">
        <v>843</v>
      </c>
      <c r="AV50" s="75" t="str">
        <f>HYPERLINK("https://pbs.twimg.com/profile_images/863710851441623042/rD9NF2It_normal.jpg")</f>
        <v>https://pbs.twimg.com/profile_images/863710851441623042/rD9NF2It_normal.jpg</v>
      </c>
      <c r="AW50" s="74" t="s">
        <v>1064</v>
      </c>
      <c r="AX50" s="74" t="s">
        <v>1253</v>
      </c>
      <c r="AY50" s="74" t="s">
        <v>1327</v>
      </c>
      <c r="AZ50" s="74" t="s">
        <v>1253</v>
      </c>
      <c r="BA50" s="74" t="s">
        <v>1384</v>
      </c>
      <c r="BB50" s="74" t="s">
        <v>1384</v>
      </c>
      <c r="BC50" s="74" t="s">
        <v>1253</v>
      </c>
      <c r="BD50" s="74" t="s">
        <v>1417</v>
      </c>
      <c r="BJ50" s="44"/>
      <c r="BK50" s="45"/>
      <c r="BL50" s="44"/>
      <c r="BM50" s="45"/>
      <c r="BN50" s="44"/>
      <c r="BO50" s="45"/>
      <c r="BP50" s="44"/>
      <c r="BQ50" s="45"/>
      <c r="BR50" s="44"/>
      <c r="BS50">
        <v>1</v>
      </c>
      <c r="BT50" s="112" t="str">
        <f>REPLACE(INDEX(GroupVertices[Group],MATCH("~"&amp;Edges[[#This Row],[Vertex 1]],GroupVertices[Vertex],0)),1,1,"")</f>
        <v>4</v>
      </c>
      <c r="BU50" s="112" t="str">
        <f>REPLACE(INDEX(GroupVertices[Group],MATCH("~"&amp;Edges[[#This Row],[Vertex 2]],GroupVertices[Vertex],0)),1,1,"")</f>
        <v>4</v>
      </c>
    </row>
    <row r="51" spans="1:73" ht="15">
      <c r="A51" s="59" t="s">
        <v>248</v>
      </c>
      <c r="B51" s="59" t="s">
        <v>248</v>
      </c>
      <c r="C51" s="60"/>
      <c r="D51" s="61"/>
      <c r="E51" s="62"/>
      <c r="F51" s="63"/>
      <c r="G51" s="60"/>
      <c r="H51" s="64"/>
      <c r="I51" s="65"/>
      <c r="J51" s="65"/>
      <c r="K51" s="30" t="s">
        <v>65</v>
      </c>
      <c r="L51" s="72">
        <v>51</v>
      </c>
      <c r="M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1" s="67"/>
      <c r="O51" t="s">
        <v>177</v>
      </c>
      <c r="P51" s="73">
        <v>44578.96266203704</v>
      </c>
      <c r="Q51" t="s">
        <v>530</v>
      </c>
      <c r="R51">
        <v>1</v>
      </c>
      <c r="S51">
        <v>3</v>
      </c>
      <c r="T51">
        <v>0</v>
      </c>
      <c r="U51">
        <v>0</v>
      </c>
      <c r="W51" s="74" t="s">
        <v>686</v>
      </c>
      <c r="X51" s="75" t="str">
        <f>HYPERLINK("https://news.detik.com/berita/d-5901725/mk-buka-kemungkinan-ubah-presidential-threshold-jadi-0-persen")</f>
        <v>https://news.detik.com/berita/d-5901725/mk-buka-kemungkinan-ubah-presidential-threshold-jadi-0-persen</v>
      </c>
      <c r="Y51" t="s">
        <v>712</v>
      </c>
      <c r="AC51" s="74" t="s">
        <v>787</v>
      </c>
      <c r="AD51" t="s">
        <v>794</v>
      </c>
      <c r="AE51" s="75" t="str">
        <f>HYPERLINK("https://twitter.com/salamdaivaj/status/1483214108732571650")</f>
        <v>https://twitter.com/salamdaivaj/status/1483214108732571650</v>
      </c>
      <c r="AF51" s="73">
        <v>44578.96266203704</v>
      </c>
      <c r="AG51" s="77">
        <v>44578</v>
      </c>
      <c r="AH51" s="74" t="s">
        <v>844</v>
      </c>
      <c r="AI51" t="b">
        <v>0</v>
      </c>
      <c r="AV51" s="75" t="str">
        <f>HYPERLINK("https://pbs.twimg.com/profile_images/1658664385441845250/OpjE5e8S_normal.jpg")</f>
        <v>https://pbs.twimg.com/profile_images/1658664385441845250/OpjE5e8S_normal.jpg</v>
      </c>
      <c r="AW51" s="74" t="s">
        <v>1065</v>
      </c>
      <c r="AX51" s="74" t="s">
        <v>1065</v>
      </c>
      <c r="AZ51" s="74" t="s">
        <v>1384</v>
      </c>
      <c r="BA51" s="74" t="s">
        <v>1384</v>
      </c>
      <c r="BB51" s="74" t="s">
        <v>1384</v>
      </c>
      <c r="BC51" s="74" t="s">
        <v>1065</v>
      </c>
      <c r="BD51" s="74" t="s">
        <v>1418</v>
      </c>
      <c r="BJ51" s="44">
        <v>5</v>
      </c>
      <c r="BK51" s="45">
        <v>16.129032258064516</v>
      </c>
      <c r="BL51" s="44">
        <v>1</v>
      </c>
      <c r="BM51" s="45">
        <v>3.225806451612903</v>
      </c>
      <c r="BN51" s="44">
        <v>0</v>
      </c>
      <c r="BO51" s="45">
        <v>0</v>
      </c>
      <c r="BP51" s="44">
        <v>25</v>
      </c>
      <c r="BQ51" s="45">
        <v>80.64516129032258</v>
      </c>
      <c r="BR51" s="44">
        <v>31</v>
      </c>
      <c r="BS51">
        <v>1</v>
      </c>
      <c r="BT51" s="112" t="str">
        <f>REPLACE(INDEX(GroupVertices[Group],MATCH("~"&amp;Edges[[#This Row],[Vertex 1]],GroupVertices[Vertex],0)),1,1,"")</f>
        <v>41</v>
      </c>
      <c r="BU51" s="112" t="str">
        <f>REPLACE(INDEX(GroupVertices[Group],MATCH("~"&amp;Edges[[#This Row],[Vertex 2]],GroupVertices[Vertex],0)),1,1,"")</f>
        <v>41</v>
      </c>
    </row>
    <row r="52" spans="1:73" ht="15">
      <c r="A52" s="59" t="s">
        <v>248</v>
      </c>
      <c r="B52" s="59" t="s">
        <v>281</v>
      </c>
      <c r="C52" s="60"/>
      <c r="D52" s="61"/>
      <c r="E52" s="62"/>
      <c r="F52" s="63"/>
      <c r="G52" s="60"/>
      <c r="H52" s="64"/>
      <c r="I52" s="65"/>
      <c r="J52" s="65"/>
      <c r="K52" s="30" t="s">
        <v>65</v>
      </c>
      <c r="L52" s="72">
        <v>52</v>
      </c>
      <c r="M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2" s="67"/>
      <c r="O52" t="s">
        <v>484</v>
      </c>
      <c r="P52" s="73">
        <v>44587.46628472222</v>
      </c>
      <c r="Q52" t="s">
        <v>531</v>
      </c>
      <c r="R52">
        <v>0</v>
      </c>
      <c r="S52">
        <v>2</v>
      </c>
      <c r="T52">
        <v>0</v>
      </c>
      <c r="U52">
        <v>0</v>
      </c>
      <c r="AC52" s="74" t="s">
        <v>787</v>
      </c>
      <c r="AD52" t="s">
        <v>794</v>
      </c>
      <c r="AE52" s="75" t="str">
        <f>HYPERLINK("https://twitter.com/salamdaivaj/status/1486295718084354051")</f>
        <v>https://twitter.com/salamdaivaj/status/1486295718084354051</v>
      </c>
      <c r="AF52" s="73">
        <v>44587.46628472222</v>
      </c>
      <c r="AG52" s="77">
        <v>44587</v>
      </c>
      <c r="AH52" s="74" t="s">
        <v>845</v>
      </c>
      <c r="AV52" s="75" t="str">
        <f>HYPERLINK("https://pbs.twimg.com/profile_images/1658664385441845250/OpjE5e8S_normal.jpg")</f>
        <v>https://pbs.twimg.com/profile_images/1658664385441845250/OpjE5e8S_normal.jpg</v>
      </c>
      <c r="AW52" s="74" t="s">
        <v>1066</v>
      </c>
      <c r="AX52" s="74" t="s">
        <v>1066</v>
      </c>
      <c r="AZ52" s="74" t="s">
        <v>1384</v>
      </c>
      <c r="BA52" s="74" t="s">
        <v>1122</v>
      </c>
      <c r="BB52" s="74" t="s">
        <v>1384</v>
      </c>
      <c r="BC52" s="74" t="s">
        <v>1122</v>
      </c>
      <c r="BD52" s="74" t="s">
        <v>1418</v>
      </c>
      <c r="BJ52" s="44">
        <v>3</v>
      </c>
      <c r="BK52" s="45">
        <v>42.857142857142854</v>
      </c>
      <c r="BL52" s="44">
        <v>0</v>
      </c>
      <c r="BM52" s="45">
        <v>0</v>
      </c>
      <c r="BN52" s="44">
        <v>0</v>
      </c>
      <c r="BO52" s="45">
        <v>0</v>
      </c>
      <c r="BP52" s="44">
        <v>4</v>
      </c>
      <c r="BQ52" s="45">
        <v>57.142857142857146</v>
      </c>
      <c r="BR52" s="44">
        <v>7</v>
      </c>
      <c r="BS52">
        <v>1</v>
      </c>
      <c r="BT52" s="112" t="str">
        <f>REPLACE(INDEX(GroupVertices[Group],MATCH("~"&amp;Edges[[#This Row],[Vertex 1]],GroupVertices[Vertex],0)),1,1,"")</f>
        <v>41</v>
      </c>
      <c r="BU52" s="112" t="str">
        <f>REPLACE(INDEX(GroupVertices[Group],MATCH("~"&amp;Edges[[#This Row],[Vertex 2]],GroupVertices[Vertex],0)),1,1,"")</f>
        <v>41</v>
      </c>
    </row>
    <row r="53" spans="1:73" ht="15">
      <c r="A53" s="59" t="s">
        <v>249</v>
      </c>
      <c r="B53" s="59" t="s">
        <v>360</v>
      </c>
      <c r="C53" s="60"/>
      <c r="D53" s="61"/>
      <c r="E53" s="62"/>
      <c r="F53" s="63"/>
      <c r="G53" s="60"/>
      <c r="H53" s="64"/>
      <c r="I53" s="65"/>
      <c r="J53" s="65"/>
      <c r="K53" s="30" t="s">
        <v>65</v>
      </c>
      <c r="L53" s="72">
        <v>53</v>
      </c>
      <c r="M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3" s="67"/>
      <c r="O53" t="s">
        <v>482</v>
      </c>
      <c r="P53" s="73">
        <v>44833.904490740744</v>
      </c>
      <c r="Q53" t="s">
        <v>532</v>
      </c>
      <c r="R53">
        <v>0</v>
      </c>
      <c r="S53">
        <v>0</v>
      </c>
      <c r="T53">
        <v>0</v>
      </c>
      <c r="U53">
        <v>0</v>
      </c>
      <c r="W53" s="74" t="s">
        <v>687</v>
      </c>
      <c r="Z53" t="s">
        <v>360</v>
      </c>
      <c r="AC53" s="74" t="s">
        <v>787</v>
      </c>
      <c r="AD53" t="s">
        <v>794</v>
      </c>
      <c r="AE53" s="75" t="str">
        <f>HYPERLINK("https://twitter.com/harianto_zanuar/status/1575601931820576768")</f>
        <v>https://twitter.com/harianto_zanuar/status/1575601931820576768</v>
      </c>
      <c r="AF53" s="73">
        <v>44833.904490740744</v>
      </c>
      <c r="AG53" s="77">
        <v>44833</v>
      </c>
      <c r="AH53" s="74" t="s">
        <v>846</v>
      </c>
      <c r="AV53" s="75" t="str">
        <f>HYPERLINK("https://pbs.twimg.com/profile_images/1575596889302437889/b83mKM9D_normal.jpg")</f>
        <v>https://pbs.twimg.com/profile_images/1575596889302437889/b83mKM9D_normal.jpg</v>
      </c>
      <c r="AW53" s="74" t="s">
        <v>1067</v>
      </c>
      <c r="AX53" s="74" t="s">
        <v>1254</v>
      </c>
      <c r="AY53" s="74" t="s">
        <v>1336</v>
      </c>
      <c r="AZ53" s="74" t="s">
        <v>1254</v>
      </c>
      <c r="BA53" s="74" t="s">
        <v>1384</v>
      </c>
      <c r="BB53" s="74" t="s">
        <v>1384</v>
      </c>
      <c r="BC53" s="74" t="s">
        <v>1254</v>
      </c>
      <c r="BD53" s="74" t="s">
        <v>1419</v>
      </c>
      <c r="BJ53" s="44">
        <v>1</v>
      </c>
      <c r="BK53" s="45">
        <v>4.3478260869565215</v>
      </c>
      <c r="BL53" s="44">
        <v>0</v>
      </c>
      <c r="BM53" s="45">
        <v>0</v>
      </c>
      <c r="BN53" s="44">
        <v>0</v>
      </c>
      <c r="BO53" s="45">
        <v>0</v>
      </c>
      <c r="BP53" s="44">
        <v>22</v>
      </c>
      <c r="BQ53" s="45">
        <v>95.65217391304348</v>
      </c>
      <c r="BR53" s="44">
        <v>23</v>
      </c>
      <c r="BS53">
        <v>1</v>
      </c>
      <c r="BT53" s="112" t="str">
        <f>REPLACE(INDEX(GroupVertices[Group],MATCH("~"&amp;Edges[[#This Row],[Vertex 1]],GroupVertices[Vertex],0)),1,1,"")</f>
        <v>16</v>
      </c>
      <c r="BU53" s="112" t="str">
        <f>REPLACE(INDEX(GroupVertices[Group],MATCH("~"&amp;Edges[[#This Row],[Vertex 2]],GroupVertices[Vertex],0)),1,1,"")</f>
        <v>16</v>
      </c>
    </row>
    <row r="54" spans="1:73" ht="15">
      <c r="A54" s="59" t="s">
        <v>249</v>
      </c>
      <c r="B54" s="59" t="s">
        <v>345</v>
      </c>
      <c r="C54" s="60"/>
      <c r="D54" s="61"/>
      <c r="E54" s="62"/>
      <c r="F54" s="63"/>
      <c r="G54" s="60"/>
      <c r="H54" s="64"/>
      <c r="I54" s="65"/>
      <c r="J54" s="65"/>
      <c r="K54" s="30" t="s">
        <v>65</v>
      </c>
      <c r="L54" s="72">
        <v>54</v>
      </c>
      <c r="M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4" s="67"/>
      <c r="O54" t="s">
        <v>482</v>
      </c>
      <c r="P54" s="73">
        <v>44833.89922453704</v>
      </c>
      <c r="Q54" t="s">
        <v>533</v>
      </c>
      <c r="R54">
        <v>0</v>
      </c>
      <c r="S54">
        <v>1</v>
      </c>
      <c r="T54">
        <v>0</v>
      </c>
      <c r="U54">
        <v>0</v>
      </c>
      <c r="W54" s="74" t="s">
        <v>682</v>
      </c>
      <c r="Z54" t="s">
        <v>345</v>
      </c>
      <c r="AC54" s="74" t="s">
        <v>787</v>
      </c>
      <c r="AD54" t="s">
        <v>794</v>
      </c>
      <c r="AE54" s="75" t="str">
        <f>HYPERLINK("https://twitter.com/harianto_zanuar/status/1575600022711726080")</f>
        <v>https://twitter.com/harianto_zanuar/status/1575600022711726080</v>
      </c>
      <c r="AF54" s="73">
        <v>44833.89922453704</v>
      </c>
      <c r="AG54" s="77">
        <v>44833</v>
      </c>
      <c r="AH54" s="74" t="s">
        <v>847</v>
      </c>
      <c r="AV54" s="75" t="str">
        <f>HYPERLINK("https://pbs.twimg.com/profile_images/1575596889302437889/b83mKM9D_normal.jpg")</f>
        <v>https://pbs.twimg.com/profile_images/1575596889302437889/b83mKM9D_normal.jpg</v>
      </c>
      <c r="AW54" s="74" t="s">
        <v>1068</v>
      </c>
      <c r="AX54" s="74" t="s">
        <v>1255</v>
      </c>
      <c r="AY54" s="74" t="s">
        <v>1313</v>
      </c>
      <c r="AZ54" s="74" t="s">
        <v>1255</v>
      </c>
      <c r="BA54" s="74" t="s">
        <v>1384</v>
      </c>
      <c r="BB54" s="74" t="s">
        <v>1384</v>
      </c>
      <c r="BC54" s="74" t="s">
        <v>1255</v>
      </c>
      <c r="BD54" s="74" t="s">
        <v>1419</v>
      </c>
      <c r="BJ54" s="44">
        <v>2</v>
      </c>
      <c r="BK54" s="45">
        <v>18.181818181818183</v>
      </c>
      <c r="BL54" s="44">
        <v>0</v>
      </c>
      <c r="BM54" s="45">
        <v>0</v>
      </c>
      <c r="BN54" s="44">
        <v>0</v>
      </c>
      <c r="BO54" s="45">
        <v>0</v>
      </c>
      <c r="BP54" s="44">
        <v>9</v>
      </c>
      <c r="BQ54" s="45">
        <v>81.81818181818181</v>
      </c>
      <c r="BR54" s="44">
        <v>11</v>
      </c>
      <c r="BS54">
        <v>8</v>
      </c>
      <c r="BT54" s="112" t="str">
        <f>REPLACE(INDEX(GroupVertices[Group],MATCH("~"&amp;Edges[[#This Row],[Vertex 1]],GroupVertices[Vertex],0)),1,1,"")</f>
        <v>16</v>
      </c>
      <c r="BU54" s="112" t="str">
        <f>REPLACE(INDEX(GroupVertices[Group],MATCH("~"&amp;Edges[[#This Row],[Vertex 2]],GroupVertices[Vertex],0)),1,1,"")</f>
        <v>16</v>
      </c>
    </row>
    <row r="55" spans="1:73" ht="15">
      <c r="A55" s="59" t="s">
        <v>249</v>
      </c>
      <c r="B55" s="59" t="s">
        <v>361</v>
      </c>
      <c r="C55" s="60"/>
      <c r="D55" s="61"/>
      <c r="E55" s="62"/>
      <c r="F55" s="63"/>
      <c r="G55" s="60"/>
      <c r="H55" s="64"/>
      <c r="I55" s="65"/>
      <c r="J55" s="65"/>
      <c r="K55" s="30" t="s">
        <v>65</v>
      </c>
      <c r="L55" s="72">
        <v>55</v>
      </c>
      <c r="M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5" s="67"/>
      <c r="O55" t="s">
        <v>482</v>
      </c>
      <c r="P55" s="73">
        <v>44833.9171875</v>
      </c>
      <c r="Q55" t="s">
        <v>534</v>
      </c>
      <c r="R55">
        <v>0</v>
      </c>
      <c r="S55">
        <v>0</v>
      </c>
      <c r="T55">
        <v>0</v>
      </c>
      <c r="U55">
        <v>0</v>
      </c>
      <c r="W55" s="74" t="s">
        <v>682</v>
      </c>
      <c r="Z55" t="s">
        <v>361</v>
      </c>
      <c r="AC55" s="74" t="s">
        <v>787</v>
      </c>
      <c r="AD55" t="s">
        <v>794</v>
      </c>
      <c r="AE55" s="75" t="str">
        <f>HYPERLINK("https://twitter.com/harianto_zanuar/status/1575606534163136512")</f>
        <v>https://twitter.com/harianto_zanuar/status/1575606534163136512</v>
      </c>
      <c r="AF55" s="73">
        <v>44833.9171875</v>
      </c>
      <c r="AG55" s="77">
        <v>44833</v>
      </c>
      <c r="AH55" s="74" t="s">
        <v>848</v>
      </c>
      <c r="AV55" s="75" t="str">
        <f>HYPERLINK("https://pbs.twimg.com/profile_images/1575596889302437889/b83mKM9D_normal.jpg")</f>
        <v>https://pbs.twimg.com/profile_images/1575596889302437889/b83mKM9D_normal.jpg</v>
      </c>
      <c r="AW55" s="74" t="s">
        <v>1069</v>
      </c>
      <c r="AX55" s="74" t="s">
        <v>1256</v>
      </c>
      <c r="AY55" s="74" t="s">
        <v>1337</v>
      </c>
      <c r="AZ55" s="74" t="s">
        <v>1256</v>
      </c>
      <c r="BA55" s="74" t="s">
        <v>1384</v>
      </c>
      <c r="BB55" s="74" t="s">
        <v>1384</v>
      </c>
      <c r="BC55" s="74" t="s">
        <v>1256</v>
      </c>
      <c r="BD55" s="74" t="s">
        <v>1419</v>
      </c>
      <c r="BJ55" s="44">
        <v>0</v>
      </c>
      <c r="BK55" s="45">
        <v>0</v>
      </c>
      <c r="BL55" s="44">
        <v>1</v>
      </c>
      <c r="BM55" s="45">
        <v>12.5</v>
      </c>
      <c r="BN55" s="44">
        <v>0</v>
      </c>
      <c r="BO55" s="45">
        <v>0</v>
      </c>
      <c r="BP55" s="44">
        <v>7</v>
      </c>
      <c r="BQ55" s="45">
        <v>87.5</v>
      </c>
      <c r="BR55" s="44">
        <v>8</v>
      </c>
      <c r="BS55">
        <v>1</v>
      </c>
      <c r="BT55" s="112" t="str">
        <f>REPLACE(INDEX(GroupVertices[Group],MATCH("~"&amp;Edges[[#This Row],[Vertex 1]],GroupVertices[Vertex],0)),1,1,"")</f>
        <v>16</v>
      </c>
      <c r="BU55" s="112" t="str">
        <f>REPLACE(INDEX(GroupVertices[Group],MATCH("~"&amp;Edges[[#This Row],[Vertex 2]],GroupVertices[Vertex],0)),1,1,"")</f>
        <v>16</v>
      </c>
    </row>
    <row r="56" spans="1:73" ht="15">
      <c r="A56" s="59" t="s">
        <v>250</v>
      </c>
      <c r="B56" s="59" t="s">
        <v>362</v>
      </c>
      <c r="C56" s="60"/>
      <c r="D56" s="61"/>
      <c r="E56" s="62"/>
      <c r="F56" s="63"/>
      <c r="G56" s="60"/>
      <c r="H56" s="64"/>
      <c r="I56" s="65"/>
      <c r="J56" s="65"/>
      <c r="K56" s="30" t="s">
        <v>65</v>
      </c>
      <c r="L56" s="72">
        <v>56</v>
      </c>
      <c r="M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6" s="67"/>
      <c r="O56" t="s">
        <v>482</v>
      </c>
      <c r="P56" s="73">
        <v>44571.546111111114</v>
      </c>
      <c r="Q56" t="s">
        <v>535</v>
      </c>
      <c r="R56">
        <v>0</v>
      </c>
      <c r="S56">
        <v>0</v>
      </c>
      <c r="T56">
        <v>0</v>
      </c>
      <c r="U56">
        <v>0</v>
      </c>
      <c r="Z56" t="s">
        <v>362</v>
      </c>
      <c r="AC56" s="74" t="s">
        <v>787</v>
      </c>
      <c r="AD56" t="s">
        <v>794</v>
      </c>
      <c r="AE56" s="75" t="str">
        <f>HYPERLINK("https://twitter.com/fachniadin/status/1480526440458117127")</f>
        <v>https://twitter.com/fachniadin/status/1480526440458117127</v>
      </c>
      <c r="AF56" s="73">
        <v>44571.546111111114</v>
      </c>
      <c r="AG56" s="77">
        <v>44571</v>
      </c>
      <c r="AH56" s="74" t="s">
        <v>849</v>
      </c>
      <c r="AV56" s="75" t="str">
        <f>HYPERLINK("https://pbs.twimg.com/profile_images/1470910063833325571/6cmTQS5x_normal.jpg")</f>
        <v>https://pbs.twimg.com/profile_images/1470910063833325571/6cmTQS5x_normal.jpg</v>
      </c>
      <c r="AW56" s="74" t="s">
        <v>1070</v>
      </c>
      <c r="AX56" s="74" t="s">
        <v>1257</v>
      </c>
      <c r="AY56" s="74" t="s">
        <v>1338</v>
      </c>
      <c r="AZ56" s="74" t="s">
        <v>1257</v>
      </c>
      <c r="BA56" s="74" t="s">
        <v>1384</v>
      </c>
      <c r="BB56" s="74" t="s">
        <v>1384</v>
      </c>
      <c r="BC56" s="74" t="s">
        <v>1257</v>
      </c>
      <c r="BD56" s="74" t="s">
        <v>1420</v>
      </c>
      <c r="BJ56" s="44">
        <v>3</v>
      </c>
      <c r="BK56" s="45">
        <v>23.076923076923077</v>
      </c>
      <c r="BL56" s="44">
        <v>0</v>
      </c>
      <c r="BM56" s="45">
        <v>0</v>
      </c>
      <c r="BN56" s="44">
        <v>0</v>
      </c>
      <c r="BO56" s="45">
        <v>0</v>
      </c>
      <c r="BP56" s="44">
        <v>10</v>
      </c>
      <c r="BQ56" s="45">
        <v>76.92307692307692</v>
      </c>
      <c r="BR56" s="44">
        <v>13</v>
      </c>
      <c r="BS56">
        <v>1</v>
      </c>
      <c r="BT56" s="112" t="str">
        <f>REPLACE(INDEX(GroupVertices[Group],MATCH("~"&amp;Edges[[#This Row],[Vertex 1]],GroupVertices[Vertex],0)),1,1,"")</f>
        <v>7</v>
      </c>
      <c r="BU56" s="112" t="str">
        <f>REPLACE(INDEX(GroupVertices[Group],MATCH("~"&amp;Edges[[#This Row],[Vertex 2]],GroupVertices[Vertex],0)),1,1,"")</f>
        <v>7</v>
      </c>
    </row>
    <row r="57" spans="1:73" ht="15">
      <c r="A57" s="59" t="s">
        <v>250</v>
      </c>
      <c r="B57" s="59" t="s">
        <v>363</v>
      </c>
      <c r="C57" s="60"/>
      <c r="D57" s="61"/>
      <c r="E57" s="62"/>
      <c r="F57" s="63"/>
      <c r="G57" s="60"/>
      <c r="H57" s="64"/>
      <c r="I57" s="65"/>
      <c r="J57" s="65"/>
      <c r="K57" s="30" t="s">
        <v>65</v>
      </c>
      <c r="L57" s="72">
        <v>57</v>
      </c>
      <c r="M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7" s="67"/>
      <c r="O57" t="s">
        <v>482</v>
      </c>
      <c r="P57" s="73">
        <v>44571.450532407405</v>
      </c>
      <c r="Q57" t="s">
        <v>536</v>
      </c>
      <c r="R57">
        <v>0</v>
      </c>
      <c r="S57">
        <v>0</v>
      </c>
      <c r="T57">
        <v>0</v>
      </c>
      <c r="U57">
        <v>0</v>
      </c>
      <c r="Z57" t="s">
        <v>731</v>
      </c>
      <c r="AC57" s="74" t="s">
        <v>787</v>
      </c>
      <c r="AD57" t="s">
        <v>794</v>
      </c>
      <c r="AE57" s="75" t="str">
        <f>HYPERLINK("https://twitter.com/fachniadin/status/1480491802117345282")</f>
        <v>https://twitter.com/fachniadin/status/1480491802117345282</v>
      </c>
      <c r="AF57" s="73">
        <v>44571.450532407405</v>
      </c>
      <c r="AG57" s="77">
        <v>44571</v>
      </c>
      <c r="AH57" s="74" t="s">
        <v>850</v>
      </c>
      <c r="AV57" s="75" t="str">
        <f>HYPERLINK("https://pbs.twimg.com/profile_images/1470910063833325571/6cmTQS5x_normal.jpg")</f>
        <v>https://pbs.twimg.com/profile_images/1470910063833325571/6cmTQS5x_normal.jpg</v>
      </c>
      <c r="AW57" s="74" t="s">
        <v>1071</v>
      </c>
      <c r="AX57" s="74" t="s">
        <v>1258</v>
      </c>
      <c r="AY57" s="74" t="s">
        <v>1339</v>
      </c>
      <c r="AZ57" s="74" t="s">
        <v>1389</v>
      </c>
      <c r="BA57" s="74" t="s">
        <v>1384</v>
      </c>
      <c r="BB57" s="74" t="s">
        <v>1384</v>
      </c>
      <c r="BC57" s="74" t="s">
        <v>1389</v>
      </c>
      <c r="BD57" s="74" t="s">
        <v>1420</v>
      </c>
      <c r="BJ57" s="44">
        <v>10</v>
      </c>
      <c r="BK57" s="45">
        <v>23.25581395348837</v>
      </c>
      <c r="BL57" s="44">
        <v>2</v>
      </c>
      <c r="BM57" s="45">
        <v>4.651162790697675</v>
      </c>
      <c r="BN57" s="44">
        <v>0</v>
      </c>
      <c r="BO57" s="45">
        <v>0</v>
      </c>
      <c r="BP57" s="44">
        <v>31</v>
      </c>
      <c r="BQ57" s="45">
        <v>72.09302325581395</v>
      </c>
      <c r="BR57" s="44">
        <v>43</v>
      </c>
      <c r="BS57">
        <v>1</v>
      </c>
      <c r="BT57" s="112" t="str">
        <f>REPLACE(INDEX(GroupVertices[Group],MATCH("~"&amp;Edges[[#This Row],[Vertex 1]],GroupVertices[Vertex],0)),1,1,"")</f>
        <v>7</v>
      </c>
      <c r="BU57" s="112" t="str">
        <f>REPLACE(INDEX(GroupVertices[Group],MATCH("~"&amp;Edges[[#This Row],[Vertex 2]],GroupVertices[Vertex],0)),1,1,"")</f>
        <v>7</v>
      </c>
    </row>
    <row r="58" spans="1:73" ht="15">
      <c r="A58" s="59" t="s">
        <v>250</v>
      </c>
      <c r="B58" s="59" t="s">
        <v>364</v>
      </c>
      <c r="C58" s="60"/>
      <c r="D58" s="61"/>
      <c r="E58" s="62"/>
      <c r="F58" s="63"/>
      <c r="G58" s="60"/>
      <c r="H58" s="64"/>
      <c r="I58" s="65"/>
      <c r="J58" s="65"/>
      <c r="K58" s="30" t="s">
        <v>65</v>
      </c>
      <c r="L58" s="72">
        <v>58</v>
      </c>
      <c r="M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8" s="67"/>
      <c r="O58" t="s">
        <v>483</v>
      </c>
      <c r="P58" s="73">
        <v>44574.05462962963</v>
      </c>
      <c r="Q58" t="s">
        <v>537</v>
      </c>
      <c r="R58">
        <v>0</v>
      </c>
      <c r="S58">
        <v>0</v>
      </c>
      <c r="T58">
        <v>0</v>
      </c>
      <c r="U58">
        <v>0</v>
      </c>
      <c r="Z58" t="s">
        <v>732</v>
      </c>
      <c r="AA58" t="s">
        <v>765</v>
      </c>
      <c r="AB58" t="s">
        <v>783</v>
      </c>
      <c r="AC58" s="74" t="s">
        <v>787</v>
      </c>
      <c r="AD58" t="s">
        <v>794</v>
      </c>
      <c r="AE58" s="75" t="str">
        <f>HYPERLINK("https://twitter.com/fachniadin/status/1481435495096012800")</f>
        <v>https://twitter.com/fachniadin/status/1481435495096012800</v>
      </c>
      <c r="AF58" s="73">
        <v>44574.05462962963</v>
      </c>
      <c r="AG58" s="77">
        <v>44574</v>
      </c>
      <c r="AH58" s="74" t="s">
        <v>851</v>
      </c>
      <c r="AI58" t="b">
        <v>0</v>
      </c>
      <c r="AQ58" t="s">
        <v>1003</v>
      </c>
      <c r="AV58" s="75" t="str">
        <f>HYPERLINK("https://pbs.twimg.com/media/FI8dudsaQAINFvL.jpg")</f>
        <v>https://pbs.twimg.com/media/FI8dudsaQAINFvL.jpg</v>
      </c>
      <c r="AW58" s="74" t="s">
        <v>1072</v>
      </c>
      <c r="AX58" s="74" t="s">
        <v>1259</v>
      </c>
      <c r="AY58" s="74" t="s">
        <v>1340</v>
      </c>
      <c r="AZ58" s="74" t="s">
        <v>1259</v>
      </c>
      <c r="BA58" s="74" t="s">
        <v>1384</v>
      </c>
      <c r="BB58" s="74" t="s">
        <v>1384</v>
      </c>
      <c r="BC58" s="74" t="s">
        <v>1259</v>
      </c>
      <c r="BD58" s="74" t="s">
        <v>1420</v>
      </c>
      <c r="BJ58" s="44"/>
      <c r="BK58" s="45"/>
      <c r="BL58" s="44"/>
      <c r="BM58" s="45"/>
      <c r="BN58" s="44"/>
      <c r="BO58" s="45"/>
      <c r="BP58" s="44"/>
      <c r="BQ58" s="45"/>
      <c r="BR58" s="44"/>
      <c r="BS58">
        <v>1</v>
      </c>
      <c r="BT58" s="112" t="str">
        <f>REPLACE(INDEX(GroupVertices[Group],MATCH("~"&amp;Edges[[#This Row],[Vertex 1]],GroupVertices[Vertex],0)),1,1,"")</f>
        <v>7</v>
      </c>
      <c r="BU58" s="112" t="str">
        <f>REPLACE(INDEX(GroupVertices[Group],MATCH("~"&amp;Edges[[#This Row],[Vertex 2]],GroupVertices[Vertex],0)),1,1,"")</f>
        <v>7</v>
      </c>
    </row>
    <row r="59" spans="1:73" ht="15">
      <c r="A59" s="59" t="s">
        <v>250</v>
      </c>
      <c r="B59" s="59" t="s">
        <v>365</v>
      </c>
      <c r="C59" s="60"/>
      <c r="D59" s="61"/>
      <c r="E59" s="62"/>
      <c r="F59" s="63"/>
      <c r="G59" s="60"/>
      <c r="H59" s="64"/>
      <c r="I59" s="65"/>
      <c r="J59" s="65"/>
      <c r="K59" s="30" t="s">
        <v>65</v>
      </c>
      <c r="L59" s="72">
        <v>59</v>
      </c>
      <c r="M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9" s="67"/>
      <c r="O59" t="s">
        <v>483</v>
      </c>
      <c r="P59" s="73">
        <v>44574.05462962963</v>
      </c>
      <c r="Q59" t="s">
        <v>537</v>
      </c>
      <c r="R59">
        <v>0</v>
      </c>
      <c r="S59">
        <v>0</v>
      </c>
      <c r="T59">
        <v>0</v>
      </c>
      <c r="U59">
        <v>0</v>
      </c>
      <c r="Z59" t="s">
        <v>732</v>
      </c>
      <c r="AA59" t="s">
        <v>765</v>
      </c>
      <c r="AB59" t="s">
        <v>783</v>
      </c>
      <c r="AC59" s="74" t="s">
        <v>787</v>
      </c>
      <c r="AD59" t="s">
        <v>794</v>
      </c>
      <c r="AE59" s="75" t="str">
        <f>HYPERLINK("https://twitter.com/fachniadin/status/1481435495096012800")</f>
        <v>https://twitter.com/fachniadin/status/1481435495096012800</v>
      </c>
      <c r="AF59" s="73">
        <v>44574.05462962963</v>
      </c>
      <c r="AG59" s="77">
        <v>44574</v>
      </c>
      <c r="AH59" s="74" t="s">
        <v>851</v>
      </c>
      <c r="AI59" t="b">
        <v>0</v>
      </c>
      <c r="AQ59" t="s">
        <v>1003</v>
      </c>
      <c r="AV59" s="75" t="str">
        <f>HYPERLINK("https://pbs.twimg.com/media/FI8dudsaQAINFvL.jpg")</f>
        <v>https://pbs.twimg.com/media/FI8dudsaQAINFvL.jpg</v>
      </c>
      <c r="AW59" s="74" t="s">
        <v>1072</v>
      </c>
      <c r="AX59" s="74" t="s">
        <v>1259</v>
      </c>
      <c r="AY59" s="74" t="s">
        <v>1340</v>
      </c>
      <c r="AZ59" s="74" t="s">
        <v>1259</v>
      </c>
      <c r="BA59" s="74" t="s">
        <v>1384</v>
      </c>
      <c r="BB59" s="74" t="s">
        <v>1384</v>
      </c>
      <c r="BC59" s="74" t="s">
        <v>1259</v>
      </c>
      <c r="BD59" s="74" t="s">
        <v>1420</v>
      </c>
      <c r="BJ59" s="44"/>
      <c r="BK59" s="45"/>
      <c r="BL59" s="44"/>
      <c r="BM59" s="45"/>
      <c r="BN59" s="44"/>
      <c r="BO59" s="45"/>
      <c r="BP59" s="44"/>
      <c r="BQ59" s="45"/>
      <c r="BR59" s="44"/>
      <c r="BS59">
        <v>1</v>
      </c>
      <c r="BT59" s="112" t="str">
        <f>REPLACE(INDEX(GroupVertices[Group],MATCH("~"&amp;Edges[[#This Row],[Vertex 1]],GroupVertices[Vertex],0)),1,1,"")</f>
        <v>7</v>
      </c>
      <c r="BU59" s="112" t="str">
        <f>REPLACE(INDEX(GroupVertices[Group],MATCH("~"&amp;Edges[[#This Row],[Vertex 2]],GroupVertices[Vertex],0)),1,1,"")</f>
        <v>7</v>
      </c>
    </row>
    <row r="60" spans="1:73" ht="15">
      <c r="A60" s="59" t="s">
        <v>250</v>
      </c>
      <c r="B60" s="59" t="s">
        <v>366</v>
      </c>
      <c r="C60" s="60"/>
      <c r="D60" s="61"/>
      <c r="E60" s="62"/>
      <c r="F60" s="63"/>
      <c r="G60" s="60"/>
      <c r="H60" s="64"/>
      <c r="I60" s="65"/>
      <c r="J60" s="65"/>
      <c r="K60" s="30" t="s">
        <v>65</v>
      </c>
      <c r="L60" s="72">
        <v>60</v>
      </c>
      <c r="M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0" s="67"/>
      <c r="O60" t="s">
        <v>483</v>
      </c>
      <c r="P60" s="73">
        <v>44574.05462962963</v>
      </c>
      <c r="Q60" t="s">
        <v>537</v>
      </c>
      <c r="R60">
        <v>0</v>
      </c>
      <c r="S60">
        <v>0</v>
      </c>
      <c r="T60">
        <v>0</v>
      </c>
      <c r="U60">
        <v>0</v>
      </c>
      <c r="Z60" t="s">
        <v>732</v>
      </c>
      <c r="AA60" t="s">
        <v>765</v>
      </c>
      <c r="AB60" t="s">
        <v>783</v>
      </c>
      <c r="AC60" s="74" t="s">
        <v>787</v>
      </c>
      <c r="AD60" t="s">
        <v>794</v>
      </c>
      <c r="AE60" s="75" t="str">
        <f>HYPERLINK("https://twitter.com/fachniadin/status/1481435495096012800")</f>
        <v>https://twitter.com/fachniadin/status/1481435495096012800</v>
      </c>
      <c r="AF60" s="73">
        <v>44574.05462962963</v>
      </c>
      <c r="AG60" s="77">
        <v>44574</v>
      </c>
      <c r="AH60" s="74" t="s">
        <v>851</v>
      </c>
      <c r="AI60" t="b">
        <v>0</v>
      </c>
      <c r="AQ60" t="s">
        <v>1003</v>
      </c>
      <c r="AV60" s="75" t="str">
        <f>HYPERLINK("https://pbs.twimg.com/media/FI8dudsaQAINFvL.jpg")</f>
        <v>https://pbs.twimg.com/media/FI8dudsaQAINFvL.jpg</v>
      </c>
      <c r="AW60" s="74" t="s">
        <v>1072</v>
      </c>
      <c r="AX60" s="74" t="s">
        <v>1259</v>
      </c>
      <c r="AY60" s="74" t="s">
        <v>1340</v>
      </c>
      <c r="AZ60" s="74" t="s">
        <v>1259</v>
      </c>
      <c r="BA60" s="74" t="s">
        <v>1384</v>
      </c>
      <c r="BB60" s="74" t="s">
        <v>1384</v>
      </c>
      <c r="BC60" s="74" t="s">
        <v>1259</v>
      </c>
      <c r="BD60" s="74" t="s">
        <v>1420</v>
      </c>
      <c r="BJ60" s="44"/>
      <c r="BK60" s="45"/>
      <c r="BL60" s="44"/>
      <c r="BM60" s="45"/>
      <c r="BN60" s="44"/>
      <c r="BO60" s="45"/>
      <c r="BP60" s="44"/>
      <c r="BQ60" s="45"/>
      <c r="BR60" s="44"/>
      <c r="BS60">
        <v>1</v>
      </c>
      <c r="BT60" s="112" t="str">
        <f>REPLACE(INDEX(GroupVertices[Group],MATCH("~"&amp;Edges[[#This Row],[Vertex 1]],GroupVertices[Vertex],0)),1,1,"")</f>
        <v>7</v>
      </c>
      <c r="BU60" s="112" t="str">
        <f>REPLACE(INDEX(GroupVertices[Group],MATCH("~"&amp;Edges[[#This Row],[Vertex 2]],GroupVertices[Vertex],0)),1,1,"")</f>
        <v>7</v>
      </c>
    </row>
    <row r="61" spans="1:73" ht="15">
      <c r="A61" s="59" t="s">
        <v>250</v>
      </c>
      <c r="B61" s="59" t="s">
        <v>367</v>
      </c>
      <c r="C61" s="60"/>
      <c r="D61" s="61"/>
      <c r="E61" s="62"/>
      <c r="F61" s="63"/>
      <c r="G61" s="60"/>
      <c r="H61" s="64"/>
      <c r="I61" s="65"/>
      <c r="J61" s="65"/>
      <c r="K61" s="30" t="s">
        <v>65</v>
      </c>
      <c r="L61" s="72">
        <v>61</v>
      </c>
      <c r="M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1" s="67"/>
      <c r="O61" t="s">
        <v>483</v>
      </c>
      <c r="P61" s="73">
        <v>44574.05462962963</v>
      </c>
      <c r="Q61" t="s">
        <v>537</v>
      </c>
      <c r="R61">
        <v>0</v>
      </c>
      <c r="S61">
        <v>0</v>
      </c>
      <c r="T61">
        <v>0</v>
      </c>
      <c r="U61">
        <v>0</v>
      </c>
      <c r="Z61" t="s">
        <v>732</v>
      </c>
      <c r="AA61" t="s">
        <v>765</v>
      </c>
      <c r="AB61" t="s">
        <v>783</v>
      </c>
      <c r="AC61" s="74" t="s">
        <v>787</v>
      </c>
      <c r="AD61" t="s">
        <v>794</v>
      </c>
      <c r="AE61" s="75" t="str">
        <f>HYPERLINK("https://twitter.com/fachniadin/status/1481435495096012800")</f>
        <v>https://twitter.com/fachniadin/status/1481435495096012800</v>
      </c>
      <c r="AF61" s="73">
        <v>44574.05462962963</v>
      </c>
      <c r="AG61" s="77">
        <v>44574</v>
      </c>
      <c r="AH61" s="74" t="s">
        <v>851</v>
      </c>
      <c r="AI61" t="b">
        <v>0</v>
      </c>
      <c r="AQ61" t="s">
        <v>1003</v>
      </c>
      <c r="AV61" s="75" t="str">
        <f>HYPERLINK("https://pbs.twimg.com/media/FI8dudsaQAINFvL.jpg")</f>
        <v>https://pbs.twimg.com/media/FI8dudsaQAINFvL.jpg</v>
      </c>
      <c r="AW61" s="74" t="s">
        <v>1072</v>
      </c>
      <c r="AX61" s="74" t="s">
        <v>1259</v>
      </c>
      <c r="AY61" s="74" t="s">
        <v>1340</v>
      </c>
      <c r="AZ61" s="74" t="s">
        <v>1259</v>
      </c>
      <c r="BA61" s="74" t="s">
        <v>1384</v>
      </c>
      <c r="BB61" s="74" t="s">
        <v>1384</v>
      </c>
      <c r="BC61" s="74" t="s">
        <v>1259</v>
      </c>
      <c r="BD61" s="74" t="s">
        <v>1420</v>
      </c>
      <c r="BJ61" s="44"/>
      <c r="BK61" s="45"/>
      <c r="BL61" s="44"/>
      <c r="BM61" s="45"/>
      <c r="BN61" s="44"/>
      <c r="BO61" s="45"/>
      <c r="BP61" s="44"/>
      <c r="BQ61" s="45"/>
      <c r="BR61" s="44"/>
      <c r="BS61">
        <v>1</v>
      </c>
      <c r="BT61" s="112" t="str">
        <f>REPLACE(INDEX(GroupVertices[Group],MATCH("~"&amp;Edges[[#This Row],[Vertex 1]],GroupVertices[Vertex],0)),1,1,"")</f>
        <v>7</v>
      </c>
      <c r="BU61" s="112" t="str">
        <f>REPLACE(INDEX(GroupVertices[Group],MATCH("~"&amp;Edges[[#This Row],[Vertex 2]],GroupVertices[Vertex],0)),1,1,"")</f>
        <v>7</v>
      </c>
    </row>
    <row r="62" spans="1:73" ht="15">
      <c r="A62" s="59" t="s">
        <v>250</v>
      </c>
      <c r="B62" s="59" t="s">
        <v>368</v>
      </c>
      <c r="C62" s="60"/>
      <c r="D62" s="61"/>
      <c r="E62" s="62"/>
      <c r="F62" s="63"/>
      <c r="G62" s="60"/>
      <c r="H62" s="64"/>
      <c r="I62" s="65"/>
      <c r="J62" s="65"/>
      <c r="K62" s="30" t="s">
        <v>65</v>
      </c>
      <c r="L62" s="72">
        <v>62</v>
      </c>
      <c r="M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2" s="67"/>
      <c r="O62" t="s">
        <v>483</v>
      </c>
      <c r="P62" s="73">
        <v>44574.05462962963</v>
      </c>
      <c r="Q62" t="s">
        <v>537</v>
      </c>
      <c r="R62">
        <v>0</v>
      </c>
      <c r="S62">
        <v>0</v>
      </c>
      <c r="T62">
        <v>0</v>
      </c>
      <c r="U62">
        <v>0</v>
      </c>
      <c r="Z62" t="s">
        <v>732</v>
      </c>
      <c r="AA62" t="s">
        <v>765</v>
      </c>
      <c r="AB62" t="s">
        <v>783</v>
      </c>
      <c r="AC62" s="74" t="s">
        <v>787</v>
      </c>
      <c r="AD62" t="s">
        <v>794</v>
      </c>
      <c r="AE62" s="75" t="str">
        <f>HYPERLINK("https://twitter.com/fachniadin/status/1481435495096012800")</f>
        <v>https://twitter.com/fachniadin/status/1481435495096012800</v>
      </c>
      <c r="AF62" s="73">
        <v>44574.05462962963</v>
      </c>
      <c r="AG62" s="77">
        <v>44574</v>
      </c>
      <c r="AH62" s="74" t="s">
        <v>851</v>
      </c>
      <c r="AI62" t="b">
        <v>0</v>
      </c>
      <c r="AQ62" t="s">
        <v>1003</v>
      </c>
      <c r="AV62" s="75" t="str">
        <f>HYPERLINK("https://pbs.twimg.com/media/FI8dudsaQAINFvL.jpg")</f>
        <v>https://pbs.twimg.com/media/FI8dudsaQAINFvL.jpg</v>
      </c>
      <c r="AW62" s="74" t="s">
        <v>1072</v>
      </c>
      <c r="AX62" s="74" t="s">
        <v>1259</v>
      </c>
      <c r="AY62" s="74" t="s">
        <v>1340</v>
      </c>
      <c r="AZ62" s="74" t="s">
        <v>1259</v>
      </c>
      <c r="BA62" s="74" t="s">
        <v>1384</v>
      </c>
      <c r="BB62" s="74" t="s">
        <v>1384</v>
      </c>
      <c r="BC62" s="74" t="s">
        <v>1259</v>
      </c>
      <c r="BD62" s="74" t="s">
        <v>1420</v>
      </c>
      <c r="BJ62" s="44"/>
      <c r="BK62" s="45"/>
      <c r="BL62" s="44"/>
      <c r="BM62" s="45"/>
      <c r="BN62" s="44"/>
      <c r="BO62" s="45"/>
      <c r="BP62" s="44"/>
      <c r="BQ62" s="45"/>
      <c r="BR62" s="44"/>
      <c r="BS62">
        <v>1</v>
      </c>
      <c r="BT62" s="112" t="str">
        <f>REPLACE(INDEX(GroupVertices[Group],MATCH("~"&amp;Edges[[#This Row],[Vertex 1]],GroupVertices[Vertex],0)),1,1,"")</f>
        <v>7</v>
      </c>
      <c r="BU62" s="112" t="str">
        <f>REPLACE(INDEX(GroupVertices[Group],MATCH("~"&amp;Edges[[#This Row],[Vertex 2]],GroupVertices[Vertex],0)),1,1,"")</f>
        <v>7</v>
      </c>
    </row>
    <row r="63" spans="1:73" ht="15">
      <c r="A63" s="59" t="s">
        <v>250</v>
      </c>
      <c r="B63" s="59" t="s">
        <v>369</v>
      </c>
      <c r="C63" s="60"/>
      <c r="D63" s="61"/>
      <c r="E63" s="62"/>
      <c r="F63" s="63"/>
      <c r="G63" s="60"/>
      <c r="H63" s="64"/>
      <c r="I63" s="65"/>
      <c r="J63" s="65"/>
      <c r="K63" s="30" t="s">
        <v>65</v>
      </c>
      <c r="L63" s="72">
        <v>63</v>
      </c>
      <c r="M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3" s="67"/>
      <c r="O63" t="s">
        <v>483</v>
      </c>
      <c r="P63" s="73">
        <v>44574.05462962963</v>
      </c>
      <c r="Q63" t="s">
        <v>537</v>
      </c>
      <c r="R63">
        <v>0</v>
      </c>
      <c r="S63">
        <v>0</v>
      </c>
      <c r="T63">
        <v>0</v>
      </c>
      <c r="U63">
        <v>0</v>
      </c>
      <c r="Z63" t="s">
        <v>732</v>
      </c>
      <c r="AA63" t="s">
        <v>765</v>
      </c>
      <c r="AB63" t="s">
        <v>783</v>
      </c>
      <c r="AC63" s="74" t="s">
        <v>787</v>
      </c>
      <c r="AD63" t="s">
        <v>794</v>
      </c>
      <c r="AE63" s="75" t="str">
        <f>HYPERLINK("https://twitter.com/fachniadin/status/1481435495096012800")</f>
        <v>https://twitter.com/fachniadin/status/1481435495096012800</v>
      </c>
      <c r="AF63" s="73">
        <v>44574.05462962963</v>
      </c>
      <c r="AG63" s="77">
        <v>44574</v>
      </c>
      <c r="AH63" s="74" t="s">
        <v>851</v>
      </c>
      <c r="AI63" t="b">
        <v>0</v>
      </c>
      <c r="AQ63" t="s">
        <v>1003</v>
      </c>
      <c r="AV63" s="75" t="str">
        <f>HYPERLINK("https://pbs.twimg.com/media/FI8dudsaQAINFvL.jpg")</f>
        <v>https://pbs.twimg.com/media/FI8dudsaQAINFvL.jpg</v>
      </c>
      <c r="AW63" s="74" t="s">
        <v>1072</v>
      </c>
      <c r="AX63" s="74" t="s">
        <v>1259</v>
      </c>
      <c r="AY63" s="74" t="s">
        <v>1340</v>
      </c>
      <c r="AZ63" s="74" t="s">
        <v>1259</v>
      </c>
      <c r="BA63" s="74" t="s">
        <v>1384</v>
      </c>
      <c r="BB63" s="74" t="s">
        <v>1384</v>
      </c>
      <c r="BC63" s="74" t="s">
        <v>1259</v>
      </c>
      <c r="BD63" s="74" t="s">
        <v>1420</v>
      </c>
      <c r="BJ63" s="44"/>
      <c r="BK63" s="45"/>
      <c r="BL63" s="44"/>
      <c r="BM63" s="45"/>
      <c r="BN63" s="44"/>
      <c r="BO63" s="45"/>
      <c r="BP63" s="44"/>
      <c r="BQ63" s="45"/>
      <c r="BR63" s="44"/>
      <c r="BS63">
        <v>1</v>
      </c>
      <c r="BT63" s="112" t="str">
        <f>REPLACE(INDEX(GroupVertices[Group],MATCH("~"&amp;Edges[[#This Row],[Vertex 1]],GroupVertices[Vertex],0)),1,1,"")</f>
        <v>7</v>
      </c>
      <c r="BU63" s="112" t="str">
        <f>REPLACE(INDEX(GroupVertices[Group],MATCH("~"&amp;Edges[[#This Row],[Vertex 2]],GroupVertices[Vertex],0)),1,1,"")</f>
        <v>7</v>
      </c>
    </row>
    <row r="64" spans="1:73" ht="15">
      <c r="A64" s="59" t="s">
        <v>250</v>
      </c>
      <c r="B64" s="59" t="s">
        <v>370</v>
      </c>
      <c r="C64" s="60"/>
      <c r="D64" s="61"/>
      <c r="E64" s="62"/>
      <c r="F64" s="63"/>
      <c r="G64" s="60"/>
      <c r="H64" s="64"/>
      <c r="I64" s="65"/>
      <c r="J64" s="65"/>
      <c r="K64" s="30" t="s">
        <v>65</v>
      </c>
      <c r="L64" s="72">
        <v>64</v>
      </c>
      <c r="M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4" s="67"/>
      <c r="O64" t="s">
        <v>483</v>
      </c>
      <c r="P64" s="73">
        <v>44574.05462962963</v>
      </c>
      <c r="Q64" t="s">
        <v>537</v>
      </c>
      <c r="R64">
        <v>0</v>
      </c>
      <c r="S64">
        <v>0</v>
      </c>
      <c r="T64">
        <v>0</v>
      </c>
      <c r="U64">
        <v>0</v>
      </c>
      <c r="Z64" t="s">
        <v>732</v>
      </c>
      <c r="AA64" t="s">
        <v>765</v>
      </c>
      <c r="AB64" t="s">
        <v>783</v>
      </c>
      <c r="AC64" s="74" t="s">
        <v>787</v>
      </c>
      <c r="AD64" t="s">
        <v>794</v>
      </c>
      <c r="AE64" s="75" t="str">
        <f>HYPERLINK("https://twitter.com/fachniadin/status/1481435495096012800")</f>
        <v>https://twitter.com/fachniadin/status/1481435495096012800</v>
      </c>
      <c r="AF64" s="73">
        <v>44574.05462962963</v>
      </c>
      <c r="AG64" s="77">
        <v>44574</v>
      </c>
      <c r="AH64" s="74" t="s">
        <v>851</v>
      </c>
      <c r="AI64" t="b">
        <v>0</v>
      </c>
      <c r="AQ64" t="s">
        <v>1003</v>
      </c>
      <c r="AV64" s="75" t="str">
        <f>HYPERLINK("https://pbs.twimg.com/media/FI8dudsaQAINFvL.jpg")</f>
        <v>https://pbs.twimg.com/media/FI8dudsaQAINFvL.jpg</v>
      </c>
      <c r="AW64" s="74" t="s">
        <v>1072</v>
      </c>
      <c r="AX64" s="74" t="s">
        <v>1259</v>
      </c>
      <c r="AY64" s="74" t="s">
        <v>1340</v>
      </c>
      <c r="AZ64" s="74" t="s">
        <v>1259</v>
      </c>
      <c r="BA64" s="74" t="s">
        <v>1384</v>
      </c>
      <c r="BB64" s="74" t="s">
        <v>1384</v>
      </c>
      <c r="BC64" s="74" t="s">
        <v>1259</v>
      </c>
      <c r="BD64" s="74" t="s">
        <v>1420</v>
      </c>
      <c r="BJ64" s="44">
        <v>7</v>
      </c>
      <c r="BK64" s="45">
        <v>28</v>
      </c>
      <c r="BL64" s="44">
        <v>1</v>
      </c>
      <c r="BM64" s="45">
        <v>4</v>
      </c>
      <c r="BN64" s="44">
        <v>0</v>
      </c>
      <c r="BO64" s="45">
        <v>0</v>
      </c>
      <c r="BP64" s="44">
        <v>17</v>
      </c>
      <c r="BQ64" s="45">
        <v>68</v>
      </c>
      <c r="BR64" s="44">
        <v>25</v>
      </c>
      <c r="BS64">
        <v>1</v>
      </c>
      <c r="BT64" s="112" t="str">
        <f>REPLACE(INDEX(GroupVertices[Group],MATCH("~"&amp;Edges[[#This Row],[Vertex 1]],GroupVertices[Vertex],0)),1,1,"")</f>
        <v>7</v>
      </c>
      <c r="BU64" s="112" t="str">
        <f>REPLACE(INDEX(GroupVertices[Group],MATCH("~"&amp;Edges[[#This Row],[Vertex 2]],GroupVertices[Vertex],0)),1,1,"")</f>
        <v>7</v>
      </c>
    </row>
    <row r="65" spans="1:73" ht="15">
      <c r="A65" s="59" t="s">
        <v>250</v>
      </c>
      <c r="B65" s="59" t="s">
        <v>371</v>
      </c>
      <c r="C65" s="60"/>
      <c r="D65" s="61"/>
      <c r="E65" s="62"/>
      <c r="F65" s="63"/>
      <c r="G65" s="60"/>
      <c r="H65" s="64"/>
      <c r="I65" s="65"/>
      <c r="J65" s="65"/>
      <c r="K65" s="30" t="s">
        <v>65</v>
      </c>
      <c r="L65" s="72">
        <v>65</v>
      </c>
      <c r="M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5" s="67"/>
      <c r="O65" t="s">
        <v>482</v>
      </c>
      <c r="P65" s="73">
        <v>44566.25599537037</v>
      </c>
      <c r="Q65" t="s">
        <v>538</v>
      </c>
      <c r="R65">
        <v>0</v>
      </c>
      <c r="S65">
        <v>0</v>
      </c>
      <c r="T65">
        <v>0</v>
      </c>
      <c r="U65">
        <v>0</v>
      </c>
      <c r="Z65" t="s">
        <v>371</v>
      </c>
      <c r="AA65" t="s">
        <v>766</v>
      </c>
      <c r="AB65" t="s">
        <v>783</v>
      </c>
      <c r="AC65" s="74" t="s">
        <v>787</v>
      </c>
      <c r="AD65" t="s">
        <v>794</v>
      </c>
      <c r="AE65" s="75" t="str">
        <f>HYPERLINK("https://twitter.com/fachniadin/status/1478609366001405954")</f>
        <v>https://twitter.com/fachniadin/status/1478609366001405954</v>
      </c>
      <c r="AF65" s="73">
        <v>44566.25599537037</v>
      </c>
      <c r="AG65" s="77">
        <v>44566</v>
      </c>
      <c r="AH65" s="74" t="s">
        <v>852</v>
      </c>
      <c r="AI65" t="b">
        <v>0</v>
      </c>
      <c r="AQ65" t="s">
        <v>1004</v>
      </c>
      <c r="AV65" s="75" t="str">
        <f>HYPERLINK("https://pbs.twimg.com/media/FIUTYIXVEAAsCfu.jpg")</f>
        <v>https://pbs.twimg.com/media/FIUTYIXVEAAsCfu.jpg</v>
      </c>
      <c r="AW65" s="74" t="s">
        <v>1073</v>
      </c>
      <c r="AX65" s="74" t="s">
        <v>1260</v>
      </c>
      <c r="AY65" s="74" t="s">
        <v>1340</v>
      </c>
      <c r="AZ65" s="74" t="s">
        <v>1260</v>
      </c>
      <c r="BA65" s="74" t="s">
        <v>1384</v>
      </c>
      <c r="BB65" s="74" t="s">
        <v>1384</v>
      </c>
      <c r="BC65" s="74" t="s">
        <v>1260</v>
      </c>
      <c r="BD65" s="74" t="s">
        <v>1420</v>
      </c>
      <c r="BJ65" s="44">
        <v>4</v>
      </c>
      <c r="BK65" s="45">
        <v>36.36363636363637</v>
      </c>
      <c r="BL65" s="44">
        <v>0</v>
      </c>
      <c r="BM65" s="45">
        <v>0</v>
      </c>
      <c r="BN65" s="44">
        <v>0</v>
      </c>
      <c r="BO65" s="45">
        <v>0</v>
      </c>
      <c r="BP65" s="44">
        <v>7</v>
      </c>
      <c r="BQ65" s="45">
        <v>63.63636363636363</v>
      </c>
      <c r="BR65" s="44">
        <v>11</v>
      </c>
      <c r="BS65">
        <v>8</v>
      </c>
      <c r="BT65" s="112" t="str">
        <f>REPLACE(INDEX(GroupVertices[Group],MATCH("~"&amp;Edges[[#This Row],[Vertex 1]],GroupVertices[Vertex],0)),1,1,"")</f>
        <v>7</v>
      </c>
      <c r="BU65" s="112" t="str">
        <f>REPLACE(INDEX(GroupVertices[Group],MATCH("~"&amp;Edges[[#This Row],[Vertex 2]],GroupVertices[Vertex],0)),1,1,"")</f>
        <v>7</v>
      </c>
    </row>
    <row r="66" spans="1:73" ht="15">
      <c r="A66" s="59" t="s">
        <v>251</v>
      </c>
      <c r="B66" s="59" t="s">
        <v>318</v>
      </c>
      <c r="C66" s="60"/>
      <c r="D66" s="61"/>
      <c r="E66" s="62"/>
      <c r="F66" s="63"/>
      <c r="G66" s="60"/>
      <c r="H66" s="64"/>
      <c r="I66" s="65"/>
      <c r="J66" s="65"/>
      <c r="K66" s="30" t="s">
        <v>65</v>
      </c>
      <c r="L66" s="72">
        <v>66</v>
      </c>
      <c r="M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6" s="67"/>
      <c r="O66" t="s">
        <v>482</v>
      </c>
      <c r="P66" s="73">
        <v>44568.08699074074</v>
      </c>
      <c r="Q66" t="s">
        <v>539</v>
      </c>
      <c r="R66">
        <v>0</v>
      </c>
      <c r="S66">
        <v>0</v>
      </c>
      <c r="T66">
        <v>0</v>
      </c>
      <c r="U66">
        <v>0</v>
      </c>
      <c r="W66" s="74" t="s">
        <v>682</v>
      </c>
      <c r="Z66" t="s">
        <v>318</v>
      </c>
      <c r="AC66" s="74" t="s">
        <v>787</v>
      </c>
      <c r="AD66" t="s">
        <v>798</v>
      </c>
      <c r="AE66" s="75" t="str">
        <f>HYPERLINK("https://twitter.com/umiyati70812108/status/1479272896304353283")</f>
        <v>https://twitter.com/umiyati70812108/status/1479272896304353283</v>
      </c>
      <c r="AF66" s="73">
        <v>44568.08699074074</v>
      </c>
      <c r="AG66" s="77">
        <v>44568</v>
      </c>
      <c r="AH66" s="74" t="s">
        <v>853</v>
      </c>
      <c r="AV66" s="75" t="str">
        <f>HYPERLINK("https://abs.twimg.com/sticky/default_profile_images/default_profile_normal.png")</f>
        <v>https://abs.twimg.com/sticky/default_profile_images/default_profile_normal.png</v>
      </c>
      <c r="AW66" s="74" t="s">
        <v>1074</v>
      </c>
      <c r="AX66" s="74" t="s">
        <v>1179</v>
      </c>
      <c r="AY66" s="74" t="s">
        <v>1334</v>
      </c>
      <c r="AZ66" s="74" t="s">
        <v>1179</v>
      </c>
      <c r="BA66" s="74" t="s">
        <v>1384</v>
      </c>
      <c r="BB66" s="74" t="s">
        <v>1384</v>
      </c>
      <c r="BC66" s="74" t="s">
        <v>1179</v>
      </c>
      <c r="BD66" s="74" t="s">
        <v>1421</v>
      </c>
      <c r="BJ66" s="44">
        <v>0</v>
      </c>
      <c r="BK66" s="45">
        <v>0</v>
      </c>
      <c r="BL66" s="44">
        <v>0</v>
      </c>
      <c r="BM66" s="45">
        <v>0</v>
      </c>
      <c r="BN66" s="44">
        <v>0</v>
      </c>
      <c r="BO66" s="45">
        <v>0</v>
      </c>
      <c r="BP66" s="44">
        <v>2</v>
      </c>
      <c r="BQ66" s="45">
        <v>100</v>
      </c>
      <c r="BR66" s="44">
        <v>2</v>
      </c>
      <c r="BS66">
        <v>1</v>
      </c>
      <c r="BT66" s="112" t="str">
        <f>REPLACE(INDEX(GroupVertices[Group],MATCH("~"&amp;Edges[[#This Row],[Vertex 1]],GroupVertices[Vertex],0)),1,1,"")</f>
        <v>9</v>
      </c>
      <c r="BU66" s="112" t="str">
        <f>REPLACE(INDEX(GroupVertices[Group],MATCH("~"&amp;Edges[[#This Row],[Vertex 2]],GroupVertices[Vertex],0)),1,1,"")</f>
        <v>9</v>
      </c>
    </row>
    <row r="67" spans="1:73" ht="15">
      <c r="A67" s="59" t="s">
        <v>252</v>
      </c>
      <c r="B67" s="59" t="s">
        <v>314</v>
      </c>
      <c r="C67" s="60"/>
      <c r="D67" s="61"/>
      <c r="E67" s="62"/>
      <c r="F67" s="63"/>
      <c r="G67" s="60"/>
      <c r="H67" s="64"/>
      <c r="I67" s="65"/>
      <c r="J67" s="65"/>
      <c r="K67" s="30" t="s">
        <v>65</v>
      </c>
      <c r="L67" s="72">
        <v>67</v>
      </c>
      <c r="M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7" s="67"/>
      <c r="O67" t="s">
        <v>482</v>
      </c>
      <c r="P67" s="73">
        <v>44647.337175925924</v>
      </c>
      <c r="Q67" t="s">
        <v>540</v>
      </c>
      <c r="R67">
        <v>0</v>
      </c>
      <c r="S67">
        <v>0</v>
      </c>
      <c r="T67">
        <v>0</v>
      </c>
      <c r="U67">
        <v>0</v>
      </c>
      <c r="Z67" t="s">
        <v>314</v>
      </c>
      <c r="AC67" s="74" t="s">
        <v>787</v>
      </c>
      <c r="AD67" t="s">
        <v>794</v>
      </c>
      <c r="AE67" s="75" t="str">
        <f>HYPERLINK("https://twitter.com/ferden62480561/status/1507992201711607813")</f>
        <v>https://twitter.com/ferden62480561/status/1507992201711607813</v>
      </c>
      <c r="AF67" s="73">
        <v>44647.337175925924</v>
      </c>
      <c r="AG67" s="77">
        <v>44647</v>
      </c>
      <c r="AH67" s="74" t="s">
        <v>854</v>
      </c>
      <c r="AV67" s="75" t="str">
        <f>HYPERLINK("https://pbs.twimg.com/profile_images/1370343220643651589/ZMEKjwW__normal.jpg")</f>
        <v>https://pbs.twimg.com/profile_images/1370343220643651589/ZMEKjwW__normal.jpg</v>
      </c>
      <c r="AW67" s="74" t="s">
        <v>1075</v>
      </c>
      <c r="AX67" s="74" t="s">
        <v>1261</v>
      </c>
      <c r="AY67" s="74" t="s">
        <v>1341</v>
      </c>
      <c r="AZ67" s="74" t="s">
        <v>1261</v>
      </c>
      <c r="BA67" s="74" t="s">
        <v>1384</v>
      </c>
      <c r="BB67" s="74" t="s">
        <v>1384</v>
      </c>
      <c r="BC67" s="74" t="s">
        <v>1261</v>
      </c>
      <c r="BD67" s="74" t="s">
        <v>1422</v>
      </c>
      <c r="BJ67" s="44">
        <v>4</v>
      </c>
      <c r="BK67" s="45">
        <v>36.36363636363637</v>
      </c>
      <c r="BL67" s="44">
        <v>0</v>
      </c>
      <c r="BM67" s="45">
        <v>0</v>
      </c>
      <c r="BN67" s="44">
        <v>0</v>
      </c>
      <c r="BO67" s="45">
        <v>0</v>
      </c>
      <c r="BP67" s="44">
        <v>7</v>
      </c>
      <c r="BQ67" s="45">
        <v>63.63636363636363</v>
      </c>
      <c r="BR67" s="44">
        <v>11</v>
      </c>
      <c r="BS67">
        <v>1</v>
      </c>
      <c r="BT67" s="112" t="str">
        <f>REPLACE(INDEX(GroupVertices[Group],MATCH("~"&amp;Edges[[#This Row],[Vertex 1]],GroupVertices[Vertex],0)),1,1,"")</f>
        <v>11</v>
      </c>
      <c r="BU67" s="112" t="str">
        <f>REPLACE(INDEX(GroupVertices[Group],MATCH("~"&amp;Edges[[#This Row],[Vertex 2]],GroupVertices[Vertex],0)),1,1,"")</f>
        <v>11</v>
      </c>
    </row>
    <row r="68" spans="1:73" ht="15">
      <c r="A68" s="59" t="s">
        <v>253</v>
      </c>
      <c r="B68" s="59" t="s">
        <v>318</v>
      </c>
      <c r="C68" s="60"/>
      <c r="D68" s="61"/>
      <c r="E68" s="62"/>
      <c r="F68" s="63"/>
      <c r="G68" s="60"/>
      <c r="H68" s="64"/>
      <c r="I68" s="65"/>
      <c r="J68" s="65"/>
      <c r="K68" s="30" t="s">
        <v>65</v>
      </c>
      <c r="L68" s="72">
        <v>68</v>
      </c>
      <c r="M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8" s="67"/>
      <c r="O68" t="s">
        <v>482</v>
      </c>
      <c r="P68" s="73">
        <v>44579.30100694444</v>
      </c>
      <c r="Q68" t="s">
        <v>541</v>
      </c>
      <c r="R68">
        <v>0</v>
      </c>
      <c r="S68">
        <v>0</v>
      </c>
      <c r="T68">
        <v>0</v>
      </c>
      <c r="U68">
        <v>0</v>
      </c>
      <c r="Z68" t="s">
        <v>318</v>
      </c>
      <c r="AC68" s="74" t="s">
        <v>787</v>
      </c>
      <c r="AD68" t="s">
        <v>794</v>
      </c>
      <c r="AE68" s="75" t="str">
        <f>HYPERLINK("https://twitter.com/elqtlqcri7fd9ng/status/1483336718841712647")</f>
        <v>https://twitter.com/elqtlqcri7fd9ng/status/1483336718841712647</v>
      </c>
      <c r="AF68" s="73">
        <v>44579.30100694444</v>
      </c>
      <c r="AG68" s="77">
        <v>44579</v>
      </c>
      <c r="AH68" s="74" t="s">
        <v>855</v>
      </c>
      <c r="AV68" s="75" t="str">
        <f>HYPERLINK("https://pbs.twimg.com/profile_images/1528581114696126464/ncbask8T_normal.jpg")</f>
        <v>https://pbs.twimg.com/profile_images/1528581114696126464/ncbask8T_normal.jpg</v>
      </c>
      <c r="AW68" s="74" t="s">
        <v>1076</v>
      </c>
      <c r="AX68" s="74" t="s">
        <v>1179</v>
      </c>
      <c r="AY68" s="74" t="s">
        <v>1334</v>
      </c>
      <c r="AZ68" s="74" t="s">
        <v>1179</v>
      </c>
      <c r="BA68" s="74" t="s">
        <v>1384</v>
      </c>
      <c r="BB68" s="74" t="s">
        <v>1384</v>
      </c>
      <c r="BC68" s="74" t="s">
        <v>1179</v>
      </c>
      <c r="BD68" s="74" t="s">
        <v>1423</v>
      </c>
      <c r="BJ68" s="44">
        <v>5</v>
      </c>
      <c r="BK68" s="45">
        <v>55.55555555555556</v>
      </c>
      <c r="BL68" s="44">
        <v>0</v>
      </c>
      <c r="BM68" s="45">
        <v>0</v>
      </c>
      <c r="BN68" s="44">
        <v>0</v>
      </c>
      <c r="BO68" s="45">
        <v>0</v>
      </c>
      <c r="BP68" s="44">
        <v>4</v>
      </c>
      <c r="BQ68" s="45">
        <v>44.44444444444444</v>
      </c>
      <c r="BR68" s="44">
        <v>9</v>
      </c>
      <c r="BS68">
        <v>1</v>
      </c>
      <c r="BT68" s="112" t="str">
        <f>REPLACE(INDEX(GroupVertices[Group],MATCH("~"&amp;Edges[[#This Row],[Vertex 1]],GroupVertices[Vertex],0)),1,1,"")</f>
        <v>9</v>
      </c>
      <c r="BU68" s="112" t="str">
        <f>REPLACE(INDEX(GroupVertices[Group],MATCH("~"&amp;Edges[[#This Row],[Vertex 2]],GroupVertices[Vertex],0)),1,1,"")</f>
        <v>9</v>
      </c>
    </row>
    <row r="69" spans="1:73" ht="15">
      <c r="A69" s="59" t="s">
        <v>254</v>
      </c>
      <c r="B69" s="59" t="s">
        <v>372</v>
      </c>
      <c r="C69" s="60"/>
      <c r="D69" s="61"/>
      <c r="E69" s="62"/>
      <c r="F69" s="63"/>
      <c r="G69" s="60"/>
      <c r="H69" s="64"/>
      <c r="I69" s="65"/>
      <c r="J69" s="65"/>
      <c r="K69" s="30" t="s">
        <v>65</v>
      </c>
      <c r="L69" s="72">
        <v>69</v>
      </c>
      <c r="M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9" s="67"/>
      <c r="O69" t="s">
        <v>483</v>
      </c>
      <c r="P69" s="73">
        <v>44698.09952546296</v>
      </c>
      <c r="Q69" t="s">
        <v>542</v>
      </c>
      <c r="R69">
        <v>0</v>
      </c>
      <c r="S69">
        <v>0</v>
      </c>
      <c r="T69">
        <v>0</v>
      </c>
      <c r="U69">
        <v>0</v>
      </c>
      <c r="Z69" t="s">
        <v>733</v>
      </c>
      <c r="AC69" s="74" t="s">
        <v>787</v>
      </c>
      <c r="AD69" t="s">
        <v>794</v>
      </c>
      <c r="AE69" s="75" t="str">
        <f>HYPERLINK("https://twitter.com/nurhanip3/status/1526387858365374466")</f>
        <v>https://twitter.com/nurhanip3/status/1526387858365374466</v>
      </c>
      <c r="AF69" s="73">
        <v>44698.09952546296</v>
      </c>
      <c r="AG69" s="77">
        <v>44698</v>
      </c>
      <c r="AH69" s="74" t="s">
        <v>856</v>
      </c>
      <c r="AV69" s="75" t="str">
        <f>HYPERLINK("https://pbs.twimg.com/profile_images/1484983158676275206/Gob5FqRq_normal.jpg")</f>
        <v>https://pbs.twimg.com/profile_images/1484983158676275206/Gob5FqRq_normal.jpg</v>
      </c>
      <c r="AW69" s="74" t="s">
        <v>1077</v>
      </c>
      <c r="AX69" s="74" t="s">
        <v>1262</v>
      </c>
      <c r="AY69" s="74" t="s">
        <v>1342</v>
      </c>
      <c r="AZ69" s="74" t="s">
        <v>1262</v>
      </c>
      <c r="BA69" s="74" t="s">
        <v>1384</v>
      </c>
      <c r="BB69" s="74" t="s">
        <v>1384</v>
      </c>
      <c r="BC69" s="74" t="s">
        <v>1262</v>
      </c>
      <c r="BD69" s="74" t="s">
        <v>1424</v>
      </c>
      <c r="BJ69" s="44"/>
      <c r="BK69" s="45"/>
      <c r="BL69" s="44"/>
      <c r="BM69" s="45"/>
      <c r="BN69" s="44"/>
      <c r="BO69" s="45"/>
      <c r="BP69" s="44"/>
      <c r="BQ69" s="45"/>
      <c r="BR69" s="44"/>
      <c r="BS69">
        <v>1</v>
      </c>
      <c r="BT69" s="112" t="str">
        <f>REPLACE(INDEX(GroupVertices[Group],MATCH("~"&amp;Edges[[#This Row],[Vertex 1]],GroupVertices[Vertex],0)),1,1,"")</f>
        <v>17</v>
      </c>
      <c r="BU69" s="112" t="str">
        <f>REPLACE(INDEX(GroupVertices[Group],MATCH("~"&amp;Edges[[#This Row],[Vertex 2]],GroupVertices[Vertex],0)),1,1,"")</f>
        <v>17</v>
      </c>
    </row>
    <row r="70" spans="1:73" ht="15">
      <c r="A70" s="59" t="s">
        <v>254</v>
      </c>
      <c r="B70" s="59" t="s">
        <v>373</v>
      </c>
      <c r="C70" s="60"/>
      <c r="D70" s="61"/>
      <c r="E70" s="62"/>
      <c r="F70" s="63"/>
      <c r="G70" s="60"/>
      <c r="H70" s="64"/>
      <c r="I70" s="65"/>
      <c r="J70" s="65"/>
      <c r="K70" s="30" t="s">
        <v>65</v>
      </c>
      <c r="L70" s="72">
        <v>70</v>
      </c>
      <c r="M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0" s="67"/>
      <c r="O70" t="s">
        <v>483</v>
      </c>
      <c r="P70" s="73">
        <v>44698.09952546296</v>
      </c>
      <c r="Q70" t="s">
        <v>542</v>
      </c>
      <c r="R70">
        <v>0</v>
      </c>
      <c r="S70">
        <v>0</v>
      </c>
      <c r="T70">
        <v>0</v>
      </c>
      <c r="U70">
        <v>0</v>
      </c>
      <c r="Z70" t="s">
        <v>733</v>
      </c>
      <c r="AC70" s="74" t="s">
        <v>787</v>
      </c>
      <c r="AD70" t="s">
        <v>794</v>
      </c>
      <c r="AE70" s="75" t="str">
        <f>HYPERLINK("https://twitter.com/nurhanip3/status/1526387858365374466")</f>
        <v>https://twitter.com/nurhanip3/status/1526387858365374466</v>
      </c>
      <c r="AF70" s="73">
        <v>44698.09952546296</v>
      </c>
      <c r="AG70" s="77">
        <v>44698</v>
      </c>
      <c r="AH70" s="74" t="s">
        <v>856</v>
      </c>
      <c r="AV70" s="75" t="str">
        <f>HYPERLINK("https://pbs.twimg.com/profile_images/1484983158676275206/Gob5FqRq_normal.jpg")</f>
        <v>https://pbs.twimg.com/profile_images/1484983158676275206/Gob5FqRq_normal.jpg</v>
      </c>
      <c r="AW70" s="74" t="s">
        <v>1077</v>
      </c>
      <c r="AX70" s="74" t="s">
        <v>1262</v>
      </c>
      <c r="AY70" s="74" t="s">
        <v>1342</v>
      </c>
      <c r="AZ70" s="74" t="s">
        <v>1262</v>
      </c>
      <c r="BA70" s="74" t="s">
        <v>1384</v>
      </c>
      <c r="BB70" s="74" t="s">
        <v>1384</v>
      </c>
      <c r="BC70" s="74" t="s">
        <v>1262</v>
      </c>
      <c r="BD70" s="74" t="s">
        <v>1424</v>
      </c>
      <c r="BJ70" s="44"/>
      <c r="BK70" s="45"/>
      <c r="BL70" s="44"/>
      <c r="BM70" s="45"/>
      <c r="BN70" s="44"/>
      <c r="BO70" s="45"/>
      <c r="BP70" s="44"/>
      <c r="BQ70" s="45"/>
      <c r="BR70" s="44"/>
      <c r="BS70">
        <v>1</v>
      </c>
      <c r="BT70" s="112" t="str">
        <f>REPLACE(INDEX(GroupVertices[Group],MATCH("~"&amp;Edges[[#This Row],[Vertex 1]],GroupVertices[Vertex],0)),1,1,"")</f>
        <v>17</v>
      </c>
      <c r="BU70" s="112" t="str">
        <f>REPLACE(INDEX(GroupVertices[Group],MATCH("~"&amp;Edges[[#This Row],[Vertex 2]],GroupVertices[Vertex],0)),1,1,"")</f>
        <v>17</v>
      </c>
    </row>
    <row r="71" spans="1:73" ht="15">
      <c r="A71" s="59" t="s">
        <v>254</v>
      </c>
      <c r="B71" s="59" t="s">
        <v>374</v>
      </c>
      <c r="C71" s="60"/>
      <c r="D71" s="61"/>
      <c r="E71" s="62"/>
      <c r="F71" s="63"/>
      <c r="G71" s="60"/>
      <c r="H71" s="64"/>
      <c r="I71" s="65"/>
      <c r="J71" s="65"/>
      <c r="K71" s="30" t="s">
        <v>65</v>
      </c>
      <c r="L71" s="72">
        <v>71</v>
      </c>
      <c r="M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1" s="67"/>
      <c r="O71" t="s">
        <v>482</v>
      </c>
      <c r="P71" s="73">
        <v>44698.09952546296</v>
      </c>
      <c r="Q71" t="s">
        <v>542</v>
      </c>
      <c r="R71">
        <v>0</v>
      </c>
      <c r="S71">
        <v>0</v>
      </c>
      <c r="T71">
        <v>0</v>
      </c>
      <c r="U71">
        <v>0</v>
      </c>
      <c r="Z71" t="s">
        <v>733</v>
      </c>
      <c r="AC71" s="74" t="s">
        <v>787</v>
      </c>
      <c r="AD71" t="s">
        <v>794</v>
      </c>
      <c r="AE71" s="75" t="str">
        <f>HYPERLINK("https://twitter.com/nurhanip3/status/1526387858365374466")</f>
        <v>https://twitter.com/nurhanip3/status/1526387858365374466</v>
      </c>
      <c r="AF71" s="73">
        <v>44698.09952546296</v>
      </c>
      <c r="AG71" s="77">
        <v>44698</v>
      </c>
      <c r="AH71" s="74" t="s">
        <v>856</v>
      </c>
      <c r="AV71" s="75" t="str">
        <f>HYPERLINK("https://pbs.twimg.com/profile_images/1484983158676275206/Gob5FqRq_normal.jpg")</f>
        <v>https://pbs.twimg.com/profile_images/1484983158676275206/Gob5FqRq_normal.jpg</v>
      </c>
      <c r="AW71" s="74" t="s">
        <v>1077</v>
      </c>
      <c r="AX71" s="74" t="s">
        <v>1262</v>
      </c>
      <c r="AY71" s="74" t="s">
        <v>1342</v>
      </c>
      <c r="AZ71" s="74" t="s">
        <v>1262</v>
      </c>
      <c r="BA71" s="74" t="s">
        <v>1384</v>
      </c>
      <c r="BB71" s="74" t="s">
        <v>1384</v>
      </c>
      <c r="BC71" s="74" t="s">
        <v>1262</v>
      </c>
      <c r="BD71" s="74" t="s">
        <v>1424</v>
      </c>
      <c r="BJ71" s="44">
        <v>6</v>
      </c>
      <c r="BK71" s="45">
        <v>33.333333333333336</v>
      </c>
      <c r="BL71" s="44">
        <v>1</v>
      </c>
      <c r="BM71" s="45">
        <v>5.555555555555555</v>
      </c>
      <c r="BN71" s="44">
        <v>0</v>
      </c>
      <c r="BO71" s="45">
        <v>0</v>
      </c>
      <c r="BP71" s="44">
        <v>11</v>
      </c>
      <c r="BQ71" s="45">
        <v>61.111111111111114</v>
      </c>
      <c r="BR71" s="44">
        <v>18</v>
      </c>
      <c r="BS71">
        <v>1</v>
      </c>
      <c r="BT71" s="112" t="str">
        <f>REPLACE(INDEX(GroupVertices[Group],MATCH("~"&amp;Edges[[#This Row],[Vertex 1]],GroupVertices[Vertex],0)),1,1,"")</f>
        <v>17</v>
      </c>
      <c r="BU71" s="112" t="str">
        <f>REPLACE(INDEX(GroupVertices[Group],MATCH("~"&amp;Edges[[#This Row],[Vertex 2]],GroupVertices[Vertex],0)),1,1,"")</f>
        <v>17</v>
      </c>
    </row>
    <row r="72" spans="1:73" ht="15">
      <c r="A72" s="59" t="s">
        <v>255</v>
      </c>
      <c r="B72" s="59" t="s">
        <v>318</v>
      </c>
      <c r="C72" s="60"/>
      <c r="D72" s="61"/>
      <c r="E72" s="62"/>
      <c r="F72" s="63"/>
      <c r="G72" s="60"/>
      <c r="H72" s="64"/>
      <c r="I72" s="65"/>
      <c r="J72" s="65"/>
      <c r="K72" s="30" t="s">
        <v>65</v>
      </c>
      <c r="L72" s="72">
        <v>72</v>
      </c>
      <c r="M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2" s="67"/>
      <c r="O72" t="s">
        <v>482</v>
      </c>
      <c r="P72" s="73">
        <v>44574.65510416667</v>
      </c>
      <c r="Q72" t="s">
        <v>543</v>
      </c>
      <c r="R72">
        <v>0</v>
      </c>
      <c r="S72">
        <v>0</v>
      </c>
      <c r="T72">
        <v>0</v>
      </c>
      <c r="U72">
        <v>0</v>
      </c>
      <c r="W72" s="74" t="s">
        <v>682</v>
      </c>
      <c r="Z72" t="s">
        <v>318</v>
      </c>
      <c r="AC72" s="74" t="s">
        <v>787</v>
      </c>
      <c r="AD72" t="s">
        <v>798</v>
      </c>
      <c r="AE72" s="75" t="str">
        <f>HYPERLINK("https://twitter.com/muhamma53050021/status/1481653100662620164")</f>
        <v>https://twitter.com/muhamma53050021/status/1481653100662620164</v>
      </c>
      <c r="AF72" s="73">
        <v>44574.65510416667</v>
      </c>
      <c r="AG72" s="77">
        <v>44574</v>
      </c>
      <c r="AH72" s="74" t="s">
        <v>857</v>
      </c>
      <c r="AV72" s="75" t="str">
        <f>HYPERLINK("https://pbs.twimg.com/profile_images/1481051164146028546/BAtu7XbG_normal.jpg")</f>
        <v>https://pbs.twimg.com/profile_images/1481051164146028546/BAtu7XbG_normal.jpg</v>
      </c>
      <c r="AW72" s="74" t="s">
        <v>1078</v>
      </c>
      <c r="AX72" s="74" t="s">
        <v>1179</v>
      </c>
      <c r="AY72" s="74" t="s">
        <v>1334</v>
      </c>
      <c r="AZ72" s="74" t="s">
        <v>1179</v>
      </c>
      <c r="BA72" s="74" t="s">
        <v>1384</v>
      </c>
      <c r="BB72" s="74" t="s">
        <v>1384</v>
      </c>
      <c r="BC72" s="74" t="s">
        <v>1179</v>
      </c>
      <c r="BD72" s="74" t="s">
        <v>1425</v>
      </c>
      <c r="BJ72" s="44">
        <v>0</v>
      </c>
      <c r="BK72" s="45">
        <v>0</v>
      </c>
      <c r="BL72" s="44">
        <v>0</v>
      </c>
      <c r="BM72" s="45">
        <v>0</v>
      </c>
      <c r="BN72" s="44">
        <v>0</v>
      </c>
      <c r="BO72" s="45">
        <v>0</v>
      </c>
      <c r="BP72" s="44">
        <v>2</v>
      </c>
      <c r="BQ72" s="45">
        <v>100</v>
      </c>
      <c r="BR72" s="44">
        <v>2</v>
      </c>
      <c r="BS72">
        <v>1</v>
      </c>
      <c r="BT72" s="112" t="str">
        <f>REPLACE(INDEX(GroupVertices[Group],MATCH("~"&amp;Edges[[#This Row],[Vertex 1]],GroupVertices[Vertex],0)),1,1,"")</f>
        <v>9</v>
      </c>
      <c r="BU72" s="112" t="str">
        <f>REPLACE(INDEX(GroupVertices[Group],MATCH("~"&amp;Edges[[#This Row],[Vertex 2]],GroupVertices[Vertex],0)),1,1,"")</f>
        <v>9</v>
      </c>
    </row>
    <row r="73" spans="1:73" ht="15">
      <c r="A73" s="59" t="s">
        <v>256</v>
      </c>
      <c r="B73" s="59" t="s">
        <v>375</v>
      </c>
      <c r="C73" s="60"/>
      <c r="D73" s="61"/>
      <c r="E73" s="62"/>
      <c r="F73" s="63"/>
      <c r="G73" s="60"/>
      <c r="H73" s="64"/>
      <c r="I73" s="65"/>
      <c r="J73" s="65"/>
      <c r="K73" s="30" t="s">
        <v>65</v>
      </c>
      <c r="L73" s="72">
        <v>73</v>
      </c>
      <c r="M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3" s="67"/>
      <c r="O73" t="s">
        <v>483</v>
      </c>
      <c r="P73" s="73">
        <v>44764.38917824074</v>
      </c>
      <c r="Q73" t="s">
        <v>544</v>
      </c>
      <c r="R73">
        <v>1</v>
      </c>
      <c r="S73">
        <v>1</v>
      </c>
      <c r="T73">
        <v>0</v>
      </c>
      <c r="U73">
        <v>0</v>
      </c>
      <c r="W73" s="74" t="s">
        <v>688</v>
      </c>
      <c r="Z73" t="s">
        <v>734</v>
      </c>
      <c r="AC73" s="74" t="s">
        <v>787</v>
      </c>
      <c r="AD73" t="s">
        <v>794</v>
      </c>
      <c r="AE73" s="75" t="str">
        <f>HYPERLINK("https://twitter.com/caryantoawuy/status/1550410426869252096")</f>
        <v>https://twitter.com/caryantoawuy/status/1550410426869252096</v>
      </c>
      <c r="AF73" s="73">
        <v>44764.38917824074</v>
      </c>
      <c r="AG73" s="77">
        <v>44764</v>
      </c>
      <c r="AH73" s="74" t="s">
        <v>858</v>
      </c>
      <c r="AV73" s="75" t="str">
        <f>HYPERLINK("https://pbs.twimg.com/profile_images/1687189182698115073/2W-0pLkc_normal.jpg")</f>
        <v>https://pbs.twimg.com/profile_images/1687189182698115073/2W-0pLkc_normal.jpg</v>
      </c>
      <c r="AW73" s="74" t="s">
        <v>1079</v>
      </c>
      <c r="AX73" s="74" t="s">
        <v>1263</v>
      </c>
      <c r="AY73" s="74" t="s">
        <v>1343</v>
      </c>
      <c r="AZ73" s="74" t="s">
        <v>1263</v>
      </c>
      <c r="BA73" s="74" t="s">
        <v>1384</v>
      </c>
      <c r="BB73" s="74" t="s">
        <v>1384</v>
      </c>
      <c r="BC73" s="74" t="s">
        <v>1263</v>
      </c>
      <c r="BD73" s="74" t="s">
        <v>1426</v>
      </c>
      <c r="BJ73" s="44"/>
      <c r="BK73" s="45"/>
      <c r="BL73" s="44"/>
      <c r="BM73" s="45"/>
      <c r="BN73" s="44"/>
      <c r="BO73" s="45"/>
      <c r="BP73" s="44"/>
      <c r="BQ73" s="45"/>
      <c r="BR73" s="44"/>
      <c r="BS73">
        <v>1</v>
      </c>
      <c r="BT73" s="112" t="str">
        <f>REPLACE(INDEX(GroupVertices[Group],MATCH("~"&amp;Edges[[#This Row],[Vertex 1]],GroupVertices[Vertex],0)),1,1,"")</f>
        <v>23</v>
      </c>
      <c r="BU73" s="112" t="str">
        <f>REPLACE(INDEX(GroupVertices[Group],MATCH("~"&amp;Edges[[#This Row],[Vertex 2]],GroupVertices[Vertex],0)),1,1,"")</f>
        <v>23</v>
      </c>
    </row>
    <row r="74" spans="1:73" ht="15">
      <c r="A74" s="59" t="s">
        <v>256</v>
      </c>
      <c r="B74" s="59" t="s">
        <v>376</v>
      </c>
      <c r="C74" s="60"/>
      <c r="D74" s="61"/>
      <c r="E74" s="62"/>
      <c r="F74" s="63"/>
      <c r="G74" s="60"/>
      <c r="H74" s="64"/>
      <c r="I74" s="65"/>
      <c r="J74" s="65"/>
      <c r="K74" s="30" t="s">
        <v>65</v>
      </c>
      <c r="L74" s="72">
        <v>74</v>
      </c>
      <c r="M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4" s="67"/>
      <c r="O74" t="s">
        <v>482</v>
      </c>
      <c r="P74" s="73">
        <v>44764.38917824074</v>
      </c>
      <c r="Q74" t="s">
        <v>544</v>
      </c>
      <c r="R74">
        <v>1</v>
      </c>
      <c r="S74">
        <v>1</v>
      </c>
      <c r="T74">
        <v>0</v>
      </c>
      <c r="U74">
        <v>0</v>
      </c>
      <c r="W74" s="74" t="s">
        <v>688</v>
      </c>
      <c r="Z74" t="s">
        <v>734</v>
      </c>
      <c r="AC74" s="74" t="s">
        <v>787</v>
      </c>
      <c r="AD74" t="s">
        <v>794</v>
      </c>
      <c r="AE74" s="75" t="str">
        <f>HYPERLINK("https://twitter.com/caryantoawuy/status/1550410426869252096")</f>
        <v>https://twitter.com/caryantoawuy/status/1550410426869252096</v>
      </c>
      <c r="AF74" s="73">
        <v>44764.38917824074</v>
      </c>
      <c r="AG74" s="77">
        <v>44764</v>
      </c>
      <c r="AH74" s="74" t="s">
        <v>858</v>
      </c>
      <c r="AV74" s="75" t="str">
        <f>HYPERLINK("https://pbs.twimg.com/profile_images/1687189182698115073/2W-0pLkc_normal.jpg")</f>
        <v>https://pbs.twimg.com/profile_images/1687189182698115073/2W-0pLkc_normal.jpg</v>
      </c>
      <c r="AW74" s="74" t="s">
        <v>1079</v>
      </c>
      <c r="AX74" s="74" t="s">
        <v>1263</v>
      </c>
      <c r="AY74" s="74" t="s">
        <v>1343</v>
      </c>
      <c r="AZ74" s="74" t="s">
        <v>1263</v>
      </c>
      <c r="BA74" s="74" t="s">
        <v>1384</v>
      </c>
      <c r="BB74" s="74" t="s">
        <v>1384</v>
      </c>
      <c r="BC74" s="74" t="s">
        <v>1263</v>
      </c>
      <c r="BD74" s="74" t="s">
        <v>1426</v>
      </c>
      <c r="BJ74" s="44">
        <v>5</v>
      </c>
      <c r="BK74" s="45">
        <v>13.513513513513514</v>
      </c>
      <c r="BL74" s="44">
        <v>0</v>
      </c>
      <c r="BM74" s="45">
        <v>0</v>
      </c>
      <c r="BN74" s="44">
        <v>0</v>
      </c>
      <c r="BO74" s="45">
        <v>0</v>
      </c>
      <c r="BP74" s="44">
        <v>32</v>
      </c>
      <c r="BQ74" s="45">
        <v>86.48648648648648</v>
      </c>
      <c r="BR74" s="44">
        <v>37</v>
      </c>
      <c r="BS74">
        <v>1</v>
      </c>
      <c r="BT74" s="112" t="str">
        <f>REPLACE(INDEX(GroupVertices[Group],MATCH("~"&amp;Edges[[#This Row],[Vertex 1]],GroupVertices[Vertex],0)),1,1,"")</f>
        <v>23</v>
      </c>
      <c r="BU74" s="112" t="str">
        <f>REPLACE(INDEX(GroupVertices[Group],MATCH("~"&amp;Edges[[#This Row],[Vertex 2]],GroupVertices[Vertex],0)),1,1,"")</f>
        <v>23</v>
      </c>
    </row>
    <row r="75" spans="1:73" ht="15">
      <c r="A75" s="59" t="s">
        <v>257</v>
      </c>
      <c r="B75" s="59" t="s">
        <v>268</v>
      </c>
      <c r="C75" s="60"/>
      <c r="D75" s="61"/>
      <c r="E75" s="62"/>
      <c r="F75" s="63"/>
      <c r="G75" s="60"/>
      <c r="H75" s="64"/>
      <c r="I75" s="65"/>
      <c r="J75" s="65"/>
      <c r="K75" s="30" t="s">
        <v>65</v>
      </c>
      <c r="L75" s="72">
        <v>75</v>
      </c>
      <c r="M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5" s="67"/>
      <c r="O75" t="s">
        <v>483</v>
      </c>
      <c r="P75" s="73">
        <v>44581.91873842593</v>
      </c>
      <c r="Q75" t="s">
        <v>545</v>
      </c>
      <c r="R75">
        <v>0</v>
      </c>
      <c r="S75">
        <v>0</v>
      </c>
      <c r="T75">
        <v>0</v>
      </c>
      <c r="U75">
        <v>0</v>
      </c>
      <c r="Z75" t="s">
        <v>735</v>
      </c>
      <c r="AC75" s="74" t="s">
        <v>787</v>
      </c>
      <c r="AD75" t="s">
        <v>794</v>
      </c>
      <c r="AE75" s="75" t="str">
        <f>HYPERLINK("https://twitter.com/johnblack03/status/1484285353955831812")</f>
        <v>https://twitter.com/johnblack03/status/1484285353955831812</v>
      </c>
      <c r="AF75" s="73">
        <v>44581.91873842593</v>
      </c>
      <c r="AG75" s="77">
        <v>44581</v>
      </c>
      <c r="AH75" s="74" t="s">
        <v>859</v>
      </c>
      <c r="AV75" s="75" t="str">
        <f>HYPERLINK("https://pbs.twimg.com/profile_images/1365473690046124041/zFu76XSd_normal.jpg")</f>
        <v>https://pbs.twimg.com/profile_images/1365473690046124041/zFu76XSd_normal.jpg</v>
      </c>
      <c r="AW75" s="74" t="s">
        <v>1080</v>
      </c>
      <c r="AX75" s="74" t="s">
        <v>1264</v>
      </c>
      <c r="AY75" s="74" t="s">
        <v>1344</v>
      </c>
      <c r="AZ75" s="74" t="s">
        <v>1264</v>
      </c>
      <c r="BA75" s="74" t="s">
        <v>1384</v>
      </c>
      <c r="BB75" s="74" t="s">
        <v>1384</v>
      </c>
      <c r="BC75" s="74" t="s">
        <v>1264</v>
      </c>
      <c r="BD75" s="74" t="s">
        <v>1427</v>
      </c>
      <c r="BJ75" s="44"/>
      <c r="BK75" s="45"/>
      <c r="BL75" s="44"/>
      <c r="BM75" s="45"/>
      <c r="BN75" s="44"/>
      <c r="BO75" s="45"/>
      <c r="BP75" s="44"/>
      <c r="BQ75" s="45"/>
      <c r="BR75" s="44"/>
      <c r="BS75">
        <v>1</v>
      </c>
      <c r="BT75" s="112" t="str">
        <f>REPLACE(INDEX(GroupVertices[Group],MATCH("~"&amp;Edges[[#This Row],[Vertex 1]],GroupVertices[Vertex],0)),1,1,"")</f>
        <v>13</v>
      </c>
      <c r="BU75" s="112" t="str">
        <f>REPLACE(INDEX(GroupVertices[Group],MATCH("~"&amp;Edges[[#This Row],[Vertex 2]],GroupVertices[Vertex],0)),1,1,"")</f>
        <v>13</v>
      </c>
    </row>
    <row r="76" spans="1:73" ht="15">
      <c r="A76" s="59" t="s">
        <v>257</v>
      </c>
      <c r="B76" s="59" t="s">
        <v>377</v>
      </c>
      <c r="C76" s="60"/>
      <c r="D76" s="61"/>
      <c r="E76" s="62"/>
      <c r="F76" s="63"/>
      <c r="G76" s="60"/>
      <c r="H76" s="64"/>
      <c r="I76" s="65"/>
      <c r="J76" s="65"/>
      <c r="K76" s="30" t="s">
        <v>65</v>
      </c>
      <c r="L76" s="72">
        <v>76</v>
      </c>
      <c r="M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6" s="67"/>
      <c r="O76" t="s">
        <v>482</v>
      </c>
      <c r="P76" s="73">
        <v>44581.91873842593</v>
      </c>
      <c r="Q76" t="s">
        <v>545</v>
      </c>
      <c r="R76">
        <v>0</v>
      </c>
      <c r="S76">
        <v>0</v>
      </c>
      <c r="T76">
        <v>0</v>
      </c>
      <c r="U76">
        <v>0</v>
      </c>
      <c r="Z76" t="s">
        <v>735</v>
      </c>
      <c r="AC76" s="74" t="s">
        <v>787</v>
      </c>
      <c r="AD76" t="s">
        <v>794</v>
      </c>
      <c r="AE76" s="75" t="str">
        <f>HYPERLINK("https://twitter.com/johnblack03/status/1484285353955831812")</f>
        <v>https://twitter.com/johnblack03/status/1484285353955831812</v>
      </c>
      <c r="AF76" s="73">
        <v>44581.91873842593</v>
      </c>
      <c r="AG76" s="77">
        <v>44581</v>
      </c>
      <c r="AH76" s="74" t="s">
        <v>859</v>
      </c>
      <c r="AV76" s="75" t="str">
        <f>HYPERLINK("https://pbs.twimg.com/profile_images/1365473690046124041/zFu76XSd_normal.jpg")</f>
        <v>https://pbs.twimg.com/profile_images/1365473690046124041/zFu76XSd_normal.jpg</v>
      </c>
      <c r="AW76" s="74" t="s">
        <v>1080</v>
      </c>
      <c r="AX76" s="74" t="s">
        <v>1264</v>
      </c>
      <c r="AY76" s="74" t="s">
        <v>1344</v>
      </c>
      <c r="AZ76" s="74" t="s">
        <v>1264</v>
      </c>
      <c r="BA76" s="74" t="s">
        <v>1384</v>
      </c>
      <c r="BB76" s="74" t="s">
        <v>1384</v>
      </c>
      <c r="BC76" s="74" t="s">
        <v>1264</v>
      </c>
      <c r="BD76" s="74" t="s">
        <v>1427</v>
      </c>
      <c r="BJ76" s="44">
        <v>3</v>
      </c>
      <c r="BK76" s="45">
        <v>37.5</v>
      </c>
      <c r="BL76" s="44">
        <v>0</v>
      </c>
      <c r="BM76" s="45">
        <v>0</v>
      </c>
      <c r="BN76" s="44">
        <v>0</v>
      </c>
      <c r="BO76" s="45">
        <v>0</v>
      </c>
      <c r="BP76" s="44">
        <v>5</v>
      </c>
      <c r="BQ76" s="45">
        <v>62.5</v>
      </c>
      <c r="BR76" s="44">
        <v>8</v>
      </c>
      <c r="BS76">
        <v>1</v>
      </c>
      <c r="BT76" s="112" t="str">
        <f>REPLACE(INDEX(GroupVertices[Group],MATCH("~"&amp;Edges[[#This Row],[Vertex 1]],GroupVertices[Vertex],0)),1,1,"")</f>
        <v>13</v>
      </c>
      <c r="BU76" s="112" t="str">
        <f>REPLACE(INDEX(GroupVertices[Group],MATCH("~"&amp;Edges[[#This Row],[Vertex 2]],GroupVertices[Vertex],0)),1,1,"")</f>
        <v>13</v>
      </c>
    </row>
    <row r="77" spans="1:73" ht="15">
      <c r="A77" s="59" t="s">
        <v>258</v>
      </c>
      <c r="B77" s="59" t="s">
        <v>328</v>
      </c>
      <c r="C77" s="60"/>
      <c r="D77" s="61"/>
      <c r="E77" s="62"/>
      <c r="F77" s="63"/>
      <c r="G77" s="60"/>
      <c r="H77" s="64"/>
      <c r="I77" s="65"/>
      <c r="J77" s="65"/>
      <c r="K77" s="30" t="s">
        <v>65</v>
      </c>
      <c r="L77" s="72">
        <v>77</v>
      </c>
      <c r="M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7" s="67"/>
      <c r="O77" t="s">
        <v>482</v>
      </c>
      <c r="P77" s="73">
        <v>44543.319074074076</v>
      </c>
      <c r="Q77" t="s">
        <v>546</v>
      </c>
      <c r="R77">
        <v>0</v>
      </c>
      <c r="S77">
        <v>0</v>
      </c>
      <c r="T77">
        <v>0</v>
      </c>
      <c r="U77">
        <v>0</v>
      </c>
      <c r="Z77" t="s">
        <v>328</v>
      </c>
      <c r="AC77" s="74" t="s">
        <v>786</v>
      </c>
      <c r="AD77" t="s">
        <v>794</v>
      </c>
      <c r="AE77" s="75" t="str">
        <f>HYPERLINK("https://twitter.com/fear37030/status/1470297301377695746")</f>
        <v>https://twitter.com/fear37030/status/1470297301377695746</v>
      </c>
      <c r="AF77" s="73">
        <v>44543.319074074076</v>
      </c>
      <c r="AG77" s="77">
        <v>44543</v>
      </c>
      <c r="AH77" s="74" t="s">
        <v>860</v>
      </c>
      <c r="AV77" s="75" t="str">
        <f>HYPERLINK("https://pbs.twimg.com/profile_images/1317005572693135360/Yuc7YV6w_normal.jpg")</f>
        <v>https://pbs.twimg.com/profile_images/1317005572693135360/Yuc7YV6w_normal.jpg</v>
      </c>
      <c r="AW77" s="74" t="s">
        <v>1081</v>
      </c>
      <c r="AX77" s="74" t="s">
        <v>1265</v>
      </c>
      <c r="AY77" s="74" t="s">
        <v>1318</v>
      </c>
      <c r="AZ77" s="74" t="s">
        <v>1265</v>
      </c>
      <c r="BA77" s="74" t="s">
        <v>1384</v>
      </c>
      <c r="BB77" s="74" t="s">
        <v>1384</v>
      </c>
      <c r="BC77" s="74" t="s">
        <v>1265</v>
      </c>
      <c r="BD77">
        <v>73938469</v>
      </c>
      <c r="BJ77" s="44">
        <v>3</v>
      </c>
      <c r="BK77" s="45">
        <v>16.666666666666668</v>
      </c>
      <c r="BL77" s="44">
        <v>1</v>
      </c>
      <c r="BM77" s="45">
        <v>5.555555555555555</v>
      </c>
      <c r="BN77" s="44">
        <v>0</v>
      </c>
      <c r="BO77" s="45">
        <v>0</v>
      </c>
      <c r="BP77" s="44">
        <v>14</v>
      </c>
      <c r="BQ77" s="45">
        <v>77.77777777777777</v>
      </c>
      <c r="BR77" s="44">
        <v>18</v>
      </c>
      <c r="BS77">
        <v>1</v>
      </c>
      <c r="BT77" s="112" t="str">
        <f>REPLACE(INDEX(GroupVertices[Group],MATCH("~"&amp;Edges[[#This Row],[Vertex 1]],GroupVertices[Vertex],0)),1,1,"")</f>
        <v>19</v>
      </c>
      <c r="BU77" s="112" t="str">
        <f>REPLACE(INDEX(GroupVertices[Group],MATCH("~"&amp;Edges[[#This Row],[Vertex 2]],GroupVertices[Vertex],0)),1,1,"")</f>
        <v>19</v>
      </c>
    </row>
    <row r="78" spans="1:73" ht="15">
      <c r="A78" s="59" t="s">
        <v>258</v>
      </c>
      <c r="B78" s="59" t="s">
        <v>314</v>
      </c>
      <c r="C78" s="60"/>
      <c r="D78" s="61"/>
      <c r="E78" s="62"/>
      <c r="F78" s="63"/>
      <c r="G78" s="60"/>
      <c r="H78" s="64"/>
      <c r="I78" s="65"/>
      <c r="J78" s="65"/>
      <c r="K78" s="30" t="s">
        <v>65</v>
      </c>
      <c r="L78" s="72">
        <v>78</v>
      </c>
      <c r="M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8" s="67"/>
      <c r="O78" t="s">
        <v>484</v>
      </c>
      <c r="P78" s="73">
        <v>44566.32478009259</v>
      </c>
      <c r="Q78" t="s">
        <v>547</v>
      </c>
      <c r="R78">
        <v>1</v>
      </c>
      <c r="S78">
        <v>1</v>
      </c>
      <c r="T78">
        <v>0</v>
      </c>
      <c r="U78">
        <v>0</v>
      </c>
      <c r="W78" s="74" t="s">
        <v>689</v>
      </c>
      <c r="AC78" s="74" t="s">
        <v>787</v>
      </c>
      <c r="AD78" t="s">
        <v>794</v>
      </c>
      <c r="AE78" s="75" t="str">
        <f>HYPERLINK("https://twitter.com/fear37030/status/1478634290745278466")</f>
        <v>https://twitter.com/fear37030/status/1478634290745278466</v>
      </c>
      <c r="AF78" s="73">
        <v>44566.32478009259</v>
      </c>
      <c r="AG78" s="77">
        <v>44566</v>
      </c>
      <c r="AH78" s="74" t="s">
        <v>861</v>
      </c>
      <c r="AV78" s="75" t="str">
        <f>HYPERLINK("https://pbs.twimg.com/profile_images/1317005572693135360/Yuc7YV6w_normal.jpg")</f>
        <v>https://pbs.twimg.com/profile_images/1317005572693135360/Yuc7YV6w_normal.jpg</v>
      </c>
      <c r="AW78" s="74" t="s">
        <v>1082</v>
      </c>
      <c r="AX78" s="74" t="s">
        <v>1082</v>
      </c>
      <c r="AZ78" s="74" t="s">
        <v>1384</v>
      </c>
      <c r="BA78" s="74" t="s">
        <v>1172</v>
      </c>
      <c r="BB78" s="74" t="s">
        <v>1384</v>
      </c>
      <c r="BC78" s="74" t="s">
        <v>1172</v>
      </c>
      <c r="BD78">
        <v>73938469</v>
      </c>
      <c r="BJ78" s="44">
        <v>0</v>
      </c>
      <c r="BK78" s="45">
        <v>0</v>
      </c>
      <c r="BL78" s="44">
        <v>0</v>
      </c>
      <c r="BM78" s="45">
        <v>0</v>
      </c>
      <c r="BN78" s="44">
        <v>0</v>
      </c>
      <c r="BO78" s="45">
        <v>0</v>
      </c>
      <c r="BP78" s="44">
        <v>36</v>
      </c>
      <c r="BQ78" s="45">
        <v>100</v>
      </c>
      <c r="BR78" s="44">
        <v>36</v>
      </c>
      <c r="BS78">
        <v>1</v>
      </c>
      <c r="BT78" s="112" t="str">
        <f>REPLACE(INDEX(GroupVertices[Group],MATCH("~"&amp;Edges[[#This Row],[Vertex 1]],GroupVertices[Vertex],0)),1,1,"")</f>
        <v>19</v>
      </c>
      <c r="BU78" s="112" t="str">
        <f>REPLACE(INDEX(GroupVertices[Group],MATCH("~"&amp;Edges[[#This Row],[Vertex 2]],GroupVertices[Vertex],0)),1,1,"")</f>
        <v>11</v>
      </c>
    </row>
    <row r="79" spans="1:73" ht="15">
      <c r="A79" s="59" t="s">
        <v>258</v>
      </c>
      <c r="B79" s="59" t="s">
        <v>258</v>
      </c>
      <c r="C79" s="60"/>
      <c r="D79" s="61"/>
      <c r="E79" s="62"/>
      <c r="F79" s="63"/>
      <c r="G79" s="60"/>
      <c r="H79" s="64"/>
      <c r="I79" s="65"/>
      <c r="J79" s="65"/>
      <c r="K79" s="30" t="s">
        <v>65</v>
      </c>
      <c r="L79" s="72">
        <v>79</v>
      </c>
      <c r="M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9" s="67"/>
      <c r="O79" t="s">
        <v>177</v>
      </c>
      <c r="P79" s="73">
        <v>44571.83325231481</v>
      </c>
      <c r="Q79" t="s">
        <v>548</v>
      </c>
      <c r="R79">
        <v>0</v>
      </c>
      <c r="S79">
        <v>0</v>
      </c>
      <c r="T79">
        <v>0</v>
      </c>
      <c r="U79">
        <v>0</v>
      </c>
      <c r="W79" s="74" t="s">
        <v>690</v>
      </c>
      <c r="AC79" s="74" t="s">
        <v>787</v>
      </c>
      <c r="AD79" t="s">
        <v>794</v>
      </c>
      <c r="AE79" s="75" t="str">
        <f>HYPERLINK("https://twitter.com/fear37030/status/1480630493808758784")</f>
        <v>https://twitter.com/fear37030/status/1480630493808758784</v>
      </c>
      <c r="AF79" s="73">
        <v>44571.83325231481</v>
      </c>
      <c r="AG79" s="77">
        <v>44571</v>
      </c>
      <c r="AH79" s="74" t="s">
        <v>862</v>
      </c>
      <c r="AV79" s="75" t="str">
        <f>HYPERLINK("https://pbs.twimg.com/profile_images/1317005572693135360/Yuc7YV6w_normal.jpg")</f>
        <v>https://pbs.twimg.com/profile_images/1317005572693135360/Yuc7YV6w_normal.jpg</v>
      </c>
      <c r="AW79" s="74" t="s">
        <v>1083</v>
      </c>
      <c r="AX79" s="74" t="s">
        <v>1083</v>
      </c>
      <c r="AZ79" s="74" t="s">
        <v>1384</v>
      </c>
      <c r="BA79" s="74" t="s">
        <v>1384</v>
      </c>
      <c r="BB79" s="74" t="s">
        <v>1384</v>
      </c>
      <c r="BC79" s="74" t="s">
        <v>1083</v>
      </c>
      <c r="BD79">
        <v>73938469</v>
      </c>
      <c r="BJ79" s="44">
        <v>3</v>
      </c>
      <c r="BK79" s="45">
        <v>10.344827586206897</v>
      </c>
      <c r="BL79" s="44">
        <v>3</v>
      </c>
      <c r="BM79" s="45">
        <v>10.344827586206897</v>
      </c>
      <c r="BN79" s="44">
        <v>0</v>
      </c>
      <c r="BO79" s="45">
        <v>0</v>
      </c>
      <c r="BP79" s="44">
        <v>23</v>
      </c>
      <c r="BQ79" s="45">
        <v>79.3103448275862</v>
      </c>
      <c r="BR79" s="44">
        <v>29</v>
      </c>
      <c r="BS79">
        <v>8</v>
      </c>
      <c r="BT79" s="112" t="str">
        <f>REPLACE(INDEX(GroupVertices[Group],MATCH("~"&amp;Edges[[#This Row],[Vertex 1]],GroupVertices[Vertex],0)),1,1,"")</f>
        <v>19</v>
      </c>
      <c r="BU79" s="112" t="str">
        <f>REPLACE(INDEX(GroupVertices[Group],MATCH("~"&amp;Edges[[#This Row],[Vertex 2]],GroupVertices[Vertex],0)),1,1,"")</f>
        <v>19</v>
      </c>
    </row>
    <row r="80" spans="1:73" ht="15">
      <c r="A80" s="59" t="s">
        <v>259</v>
      </c>
      <c r="B80" s="59" t="s">
        <v>378</v>
      </c>
      <c r="C80" s="60"/>
      <c r="D80" s="61"/>
      <c r="E80" s="62"/>
      <c r="F80" s="63"/>
      <c r="G80" s="60"/>
      <c r="H80" s="64"/>
      <c r="I80" s="65"/>
      <c r="J80" s="65"/>
      <c r="K80" s="30" t="s">
        <v>65</v>
      </c>
      <c r="L80" s="72">
        <v>80</v>
      </c>
      <c r="M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0" s="67"/>
      <c r="O80" t="s">
        <v>483</v>
      </c>
      <c r="P80" s="73">
        <v>44566.00714120371</v>
      </c>
      <c r="Q80" t="s">
        <v>549</v>
      </c>
      <c r="R80">
        <v>0</v>
      </c>
      <c r="S80">
        <v>0</v>
      </c>
      <c r="T80">
        <v>0</v>
      </c>
      <c r="U80">
        <v>0</v>
      </c>
      <c r="Z80" t="s">
        <v>736</v>
      </c>
      <c r="AC80" s="74" t="s">
        <v>787</v>
      </c>
      <c r="AD80" t="s">
        <v>794</v>
      </c>
      <c r="AE80" s="75" t="str">
        <f>HYPERLINK("https://twitter.com/ardchun/status/1478519183000289281")</f>
        <v>https://twitter.com/ardchun/status/1478519183000289281</v>
      </c>
      <c r="AF80" s="73">
        <v>44566.00714120371</v>
      </c>
      <c r="AG80" s="77">
        <v>44566</v>
      </c>
      <c r="AH80" s="74" t="s">
        <v>863</v>
      </c>
      <c r="AV80" s="75" t="str">
        <f>HYPERLINK("https://pbs.twimg.com/profile_images/1375206509416615937/HTd9lUJP_normal.jpg")</f>
        <v>https://pbs.twimg.com/profile_images/1375206509416615937/HTd9lUJP_normal.jpg</v>
      </c>
      <c r="AW80" s="74" t="s">
        <v>1084</v>
      </c>
      <c r="AX80" s="74" t="s">
        <v>1266</v>
      </c>
      <c r="AY80" s="74" t="s">
        <v>1345</v>
      </c>
      <c r="AZ80" s="74" t="s">
        <v>1266</v>
      </c>
      <c r="BA80" s="74" t="s">
        <v>1384</v>
      </c>
      <c r="BB80" s="74" t="s">
        <v>1384</v>
      </c>
      <c r="BC80" s="74" t="s">
        <v>1266</v>
      </c>
      <c r="BD80" s="74" t="s">
        <v>1428</v>
      </c>
      <c r="BJ80" s="44">
        <v>3</v>
      </c>
      <c r="BK80" s="45">
        <v>60</v>
      </c>
      <c r="BL80" s="44">
        <v>0</v>
      </c>
      <c r="BM80" s="45">
        <v>0</v>
      </c>
      <c r="BN80" s="44">
        <v>0</v>
      </c>
      <c r="BO80" s="45">
        <v>0</v>
      </c>
      <c r="BP80" s="44">
        <v>2</v>
      </c>
      <c r="BQ80" s="45">
        <v>40</v>
      </c>
      <c r="BR80" s="44">
        <v>5</v>
      </c>
      <c r="BS80">
        <v>1</v>
      </c>
      <c r="BT80" s="112" t="str">
        <f>REPLACE(INDEX(GroupVertices[Group],MATCH("~"&amp;Edges[[#This Row],[Vertex 1]],GroupVertices[Vertex],0)),1,1,"")</f>
        <v>13</v>
      </c>
      <c r="BU80" s="112" t="str">
        <f>REPLACE(INDEX(GroupVertices[Group],MATCH("~"&amp;Edges[[#This Row],[Vertex 2]],GroupVertices[Vertex],0)),1,1,"")</f>
        <v>13</v>
      </c>
    </row>
    <row r="81" spans="1:73" ht="15">
      <c r="A81" s="59" t="s">
        <v>259</v>
      </c>
      <c r="B81" s="59" t="s">
        <v>377</v>
      </c>
      <c r="C81" s="60"/>
      <c r="D81" s="61"/>
      <c r="E81" s="62"/>
      <c r="F81" s="63"/>
      <c r="G81" s="60"/>
      <c r="H81" s="64"/>
      <c r="I81" s="65"/>
      <c r="J81" s="65"/>
      <c r="K81" s="30" t="s">
        <v>65</v>
      </c>
      <c r="L81" s="72">
        <v>81</v>
      </c>
      <c r="M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1" s="67"/>
      <c r="O81" t="s">
        <v>482</v>
      </c>
      <c r="P81" s="73">
        <v>44537.68350694444</v>
      </c>
      <c r="Q81" t="s">
        <v>550</v>
      </c>
      <c r="R81">
        <v>0</v>
      </c>
      <c r="S81">
        <v>1</v>
      </c>
      <c r="T81">
        <v>0</v>
      </c>
      <c r="U81">
        <v>0</v>
      </c>
      <c r="Z81" t="s">
        <v>737</v>
      </c>
      <c r="AC81" s="74" t="s">
        <v>787</v>
      </c>
      <c r="AD81" t="s">
        <v>794</v>
      </c>
      <c r="AE81" s="75" t="str">
        <f>HYPERLINK("https://twitter.com/ardchun/status/1468255040905170951")</f>
        <v>https://twitter.com/ardchun/status/1468255040905170951</v>
      </c>
      <c r="AF81" s="73">
        <v>44537.68350694444</v>
      </c>
      <c r="AG81" s="77">
        <v>44537</v>
      </c>
      <c r="AH81" s="74" t="s">
        <v>864</v>
      </c>
      <c r="AV81" s="75" t="str">
        <f>HYPERLINK("https://pbs.twimg.com/profile_images/1375206509416615937/HTd9lUJP_normal.jpg")</f>
        <v>https://pbs.twimg.com/profile_images/1375206509416615937/HTd9lUJP_normal.jpg</v>
      </c>
      <c r="AW81" s="74" t="s">
        <v>1085</v>
      </c>
      <c r="AX81" s="74" t="s">
        <v>1267</v>
      </c>
      <c r="AY81" s="74" t="s">
        <v>1344</v>
      </c>
      <c r="AZ81" s="74" t="s">
        <v>1267</v>
      </c>
      <c r="BA81" s="74" t="s">
        <v>1384</v>
      </c>
      <c r="BB81" s="74" t="s">
        <v>1384</v>
      </c>
      <c r="BC81" s="74" t="s">
        <v>1267</v>
      </c>
      <c r="BD81" s="74" t="s">
        <v>1428</v>
      </c>
      <c r="BJ81" s="44">
        <v>4</v>
      </c>
      <c r="BK81" s="45">
        <v>50</v>
      </c>
      <c r="BL81" s="44">
        <v>0</v>
      </c>
      <c r="BM81" s="45">
        <v>0</v>
      </c>
      <c r="BN81" s="44">
        <v>0</v>
      </c>
      <c r="BO81" s="45">
        <v>0</v>
      </c>
      <c r="BP81" s="44">
        <v>4</v>
      </c>
      <c r="BQ81" s="45">
        <v>50</v>
      </c>
      <c r="BR81" s="44">
        <v>8</v>
      </c>
      <c r="BS81">
        <v>1</v>
      </c>
      <c r="BT81" s="112" t="str">
        <f>REPLACE(INDEX(GroupVertices[Group],MATCH("~"&amp;Edges[[#This Row],[Vertex 1]],GroupVertices[Vertex],0)),1,1,"")</f>
        <v>13</v>
      </c>
      <c r="BU81" s="112" t="str">
        <f>REPLACE(INDEX(GroupVertices[Group],MATCH("~"&amp;Edges[[#This Row],[Vertex 2]],GroupVertices[Vertex],0)),1,1,"")</f>
        <v>13</v>
      </c>
    </row>
    <row r="82" spans="1:73" ht="15">
      <c r="A82" s="59" t="s">
        <v>259</v>
      </c>
      <c r="B82" s="59" t="s">
        <v>268</v>
      </c>
      <c r="C82" s="60"/>
      <c r="D82" s="61"/>
      <c r="E82" s="62"/>
      <c r="F82" s="63"/>
      <c r="G82" s="60"/>
      <c r="H82" s="64"/>
      <c r="I82" s="65"/>
      <c r="J82" s="65"/>
      <c r="K82" s="30" t="s">
        <v>65</v>
      </c>
      <c r="L82" s="72">
        <v>82</v>
      </c>
      <c r="M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2" s="67"/>
      <c r="O82" t="s">
        <v>484</v>
      </c>
      <c r="P82" s="73">
        <v>44544.51236111111</v>
      </c>
      <c r="Q82" t="s">
        <v>551</v>
      </c>
      <c r="R82">
        <v>0</v>
      </c>
      <c r="S82">
        <v>0</v>
      </c>
      <c r="T82">
        <v>0</v>
      </c>
      <c r="U82">
        <v>0</v>
      </c>
      <c r="AC82" s="74" t="s">
        <v>787</v>
      </c>
      <c r="AD82" t="s">
        <v>794</v>
      </c>
      <c r="AE82" s="75" t="str">
        <f>HYPERLINK("https://twitter.com/ardchun/status/1470729734019448833")</f>
        <v>https://twitter.com/ardchun/status/1470729734019448833</v>
      </c>
      <c r="AF82" s="73">
        <v>44544.51236111111</v>
      </c>
      <c r="AG82" s="77">
        <v>44544</v>
      </c>
      <c r="AH82" s="74" t="s">
        <v>865</v>
      </c>
      <c r="AV82" s="75" t="str">
        <f>HYPERLINK("https://pbs.twimg.com/profile_images/1375206509416615937/HTd9lUJP_normal.jpg")</f>
        <v>https://pbs.twimg.com/profile_images/1375206509416615937/HTd9lUJP_normal.jpg</v>
      </c>
      <c r="AW82" s="74" t="s">
        <v>1086</v>
      </c>
      <c r="AX82" s="74" t="s">
        <v>1086</v>
      </c>
      <c r="AZ82" s="74" t="s">
        <v>1384</v>
      </c>
      <c r="BA82" s="74" t="s">
        <v>1167</v>
      </c>
      <c r="BB82" s="74" t="s">
        <v>1384</v>
      </c>
      <c r="BC82" s="74" t="s">
        <v>1167</v>
      </c>
      <c r="BD82" s="74" t="s">
        <v>1428</v>
      </c>
      <c r="BJ82" s="44">
        <v>3</v>
      </c>
      <c r="BK82" s="45">
        <v>100</v>
      </c>
      <c r="BL82" s="44">
        <v>0</v>
      </c>
      <c r="BM82" s="45">
        <v>0</v>
      </c>
      <c r="BN82" s="44">
        <v>0</v>
      </c>
      <c r="BO82" s="45">
        <v>0</v>
      </c>
      <c r="BP82" s="44">
        <v>0</v>
      </c>
      <c r="BQ82" s="45">
        <v>0</v>
      </c>
      <c r="BR82" s="44">
        <v>3</v>
      </c>
      <c r="BS82">
        <v>8</v>
      </c>
      <c r="BT82" s="112" t="str">
        <f>REPLACE(INDEX(GroupVertices[Group],MATCH("~"&amp;Edges[[#This Row],[Vertex 1]],GroupVertices[Vertex],0)),1,1,"")</f>
        <v>13</v>
      </c>
      <c r="BU82" s="112" t="str">
        <f>REPLACE(INDEX(GroupVertices[Group],MATCH("~"&amp;Edges[[#This Row],[Vertex 2]],GroupVertices[Vertex],0)),1,1,"")</f>
        <v>13</v>
      </c>
    </row>
    <row r="83" spans="1:73" ht="15">
      <c r="A83" s="59" t="s">
        <v>259</v>
      </c>
      <c r="B83" s="59" t="s">
        <v>318</v>
      </c>
      <c r="C83" s="60"/>
      <c r="D83" s="61"/>
      <c r="E83" s="62"/>
      <c r="F83" s="63"/>
      <c r="G83" s="60"/>
      <c r="H83" s="64"/>
      <c r="I83" s="65"/>
      <c r="J83" s="65"/>
      <c r="K83" s="30" t="s">
        <v>65</v>
      </c>
      <c r="L83" s="72">
        <v>83</v>
      </c>
      <c r="M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3" s="67"/>
      <c r="O83" t="s">
        <v>484</v>
      </c>
      <c r="P83" s="73">
        <v>44565.980532407404</v>
      </c>
      <c r="Q83" t="s">
        <v>552</v>
      </c>
      <c r="R83">
        <v>0</v>
      </c>
      <c r="S83">
        <v>0</v>
      </c>
      <c r="T83">
        <v>0</v>
      </c>
      <c r="U83">
        <v>0</v>
      </c>
      <c r="X83" s="75" t="str">
        <f>HYPERLINK("https://twb.nz/presidentialthreshold0persen")</f>
        <v>https://twb.nz/presidentialthreshold0persen</v>
      </c>
      <c r="Y83" t="s">
        <v>713</v>
      </c>
      <c r="AC83" s="74" t="s">
        <v>787</v>
      </c>
      <c r="AD83" t="s">
        <v>794</v>
      </c>
      <c r="AE83" s="75" t="str">
        <f>HYPERLINK("https://twitter.com/ardchun/status/1478509539271987200")</f>
        <v>https://twitter.com/ardchun/status/1478509539271987200</v>
      </c>
      <c r="AF83" s="73">
        <v>44565.980532407404</v>
      </c>
      <c r="AG83" s="77">
        <v>44565</v>
      </c>
      <c r="AH83" s="74" t="s">
        <v>866</v>
      </c>
      <c r="AI83" t="b">
        <v>0</v>
      </c>
      <c r="AV83" s="75" t="str">
        <f>HYPERLINK("https://pbs.twimg.com/profile_images/1375206509416615937/HTd9lUJP_normal.jpg")</f>
        <v>https://pbs.twimg.com/profile_images/1375206509416615937/HTd9lUJP_normal.jpg</v>
      </c>
      <c r="AW83" s="74" t="s">
        <v>1087</v>
      </c>
      <c r="AX83" s="74" t="s">
        <v>1087</v>
      </c>
      <c r="AZ83" s="74" t="s">
        <v>1384</v>
      </c>
      <c r="BA83" s="74" t="s">
        <v>1178</v>
      </c>
      <c r="BB83" s="74" t="s">
        <v>1384</v>
      </c>
      <c r="BC83" s="74" t="s">
        <v>1178</v>
      </c>
      <c r="BD83" s="74" t="s">
        <v>1428</v>
      </c>
      <c r="BJ83" s="44">
        <v>3</v>
      </c>
      <c r="BK83" s="45">
        <v>100</v>
      </c>
      <c r="BL83" s="44">
        <v>0</v>
      </c>
      <c r="BM83" s="45">
        <v>0</v>
      </c>
      <c r="BN83" s="44">
        <v>0</v>
      </c>
      <c r="BO83" s="45">
        <v>0</v>
      </c>
      <c r="BP83" s="44">
        <v>0</v>
      </c>
      <c r="BQ83" s="45">
        <v>0</v>
      </c>
      <c r="BR83" s="44">
        <v>3</v>
      </c>
      <c r="BS83">
        <v>8</v>
      </c>
      <c r="BT83" s="112" t="str">
        <f>REPLACE(INDEX(GroupVertices[Group],MATCH("~"&amp;Edges[[#This Row],[Vertex 1]],GroupVertices[Vertex],0)),1,1,"")</f>
        <v>13</v>
      </c>
      <c r="BU83" s="112" t="str">
        <f>REPLACE(INDEX(GroupVertices[Group],MATCH("~"&amp;Edges[[#This Row],[Vertex 2]],GroupVertices[Vertex],0)),1,1,"")</f>
        <v>9</v>
      </c>
    </row>
    <row r="84" spans="1:73" ht="15">
      <c r="A84" s="59" t="s">
        <v>259</v>
      </c>
      <c r="B84" s="59" t="s">
        <v>259</v>
      </c>
      <c r="C84" s="60"/>
      <c r="D84" s="61"/>
      <c r="E84" s="62"/>
      <c r="F84" s="63"/>
      <c r="G84" s="60"/>
      <c r="H84" s="64"/>
      <c r="I84" s="65"/>
      <c r="J84" s="65"/>
      <c r="K84" s="30" t="s">
        <v>65</v>
      </c>
      <c r="L84" s="72">
        <v>84</v>
      </c>
      <c r="M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4" s="67"/>
      <c r="O84" t="s">
        <v>177</v>
      </c>
      <c r="P84" s="73">
        <v>44559.03094907408</v>
      </c>
      <c r="Q84" t="s">
        <v>553</v>
      </c>
      <c r="R84">
        <v>0</v>
      </c>
      <c r="S84">
        <v>0</v>
      </c>
      <c r="T84">
        <v>0</v>
      </c>
      <c r="U84">
        <v>0</v>
      </c>
      <c r="AA84" t="s">
        <v>767</v>
      </c>
      <c r="AB84" t="s">
        <v>783</v>
      </c>
      <c r="AC84" s="74" t="s">
        <v>787</v>
      </c>
      <c r="AD84" t="s">
        <v>794</v>
      </c>
      <c r="AE84" s="75" t="str">
        <f>HYPERLINK("https://twitter.com/ardchun/status/1475991097872576514")</f>
        <v>https://twitter.com/ardchun/status/1475991097872576514</v>
      </c>
      <c r="AF84" s="73">
        <v>44559.03094907408</v>
      </c>
      <c r="AG84" s="77">
        <v>44559</v>
      </c>
      <c r="AH84" s="74" t="s">
        <v>867</v>
      </c>
      <c r="AI84" t="b">
        <v>0</v>
      </c>
      <c r="AQ84" t="s">
        <v>1005</v>
      </c>
      <c r="AV84" s="75" t="str">
        <f>HYPERLINK("https://pbs.twimg.com/media/FHvGFDOUUAAV5DU.jpg")</f>
        <v>https://pbs.twimg.com/media/FHvGFDOUUAAV5DU.jpg</v>
      </c>
      <c r="AW84" s="74" t="s">
        <v>1088</v>
      </c>
      <c r="AX84" s="74" t="s">
        <v>1088</v>
      </c>
      <c r="AZ84" s="74" t="s">
        <v>1384</v>
      </c>
      <c r="BA84" s="74" t="s">
        <v>1384</v>
      </c>
      <c r="BB84" s="74" t="s">
        <v>1384</v>
      </c>
      <c r="BC84" s="74" t="s">
        <v>1088</v>
      </c>
      <c r="BD84" s="74" t="s">
        <v>1428</v>
      </c>
      <c r="BJ84" s="44">
        <v>3</v>
      </c>
      <c r="BK84" s="45">
        <v>100</v>
      </c>
      <c r="BL84" s="44">
        <v>0</v>
      </c>
      <c r="BM84" s="45">
        <v>0</v>
      </c>
      <c r="BN84" s="44">
        <v>0</v>
      </c>
      <c r="BO84" s="45">
        <v>0</v>
      </c>
      <c r="BP84" s="44">
        <v>0</v>
      </c>
      <c r="BQ84" s="45">
        <v>0</v>
      </c>
      <c r="BR84" s="44">
        <v>3</v>
      </c>
      <c r="BS84">
        <v>1</v>
      </c>
      <c r="BT84" s="112" t="str">
        <f>REPLACE(INDEX(GroupVertices[Group],MATCH("~"&amp;Edges[[#This Row],[Vertex 1]],GroupVertices[Vertex],0)),1,1,"")</f>
        <v>13</v>
      </c>
      <c r="BU84" s="112" t="str">
        <f>REPLACE(INDEX(GroupVertices[Group],MATCH("~"&amp;Edges[[#This Row],[Vertex 2]],GroupVertices[Vertex],0)),1,1,"")</f>
        <v>13</v>
      </c>
    </row>
    <row r="85" spans="1:73" ht="15">
      <c r="A85" s="59" t="s">
        <v>260</v>
      </c>
      <c r="B85" s="59" t="s">
        <v>288</v>
      </c>
      <c r="C85" s="60"/>
      <c r="D85" s="61"/>
      <c r="E85" s="62"/>
      <c r="F85" s="63"/>
      <c r="G85" s="60"/>
      <c r="H85" s="64"/>
      <c r="I85" s="65"/>
      <c r="J85" s="65"/>
      <c r="K85" s="30" t="s">
        <v>65</v>
      </c>
      <c r="L85" s="72">
        <v>85</v>
      </c>
      <c r="M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5" s="67"/>
      <c r="O85" t="s">
        <v>482</v>
      </c>
      <c r="P85" s="73">
        <v>45187.95144675926</v>
      </c>
      <c r="Q85" t="s">
        <v>554</v>
      </c>
      <c r="R85">
        <v>0</v>
      </c>
      <c r="S85">
        <v>0</v>
      </c>
      <c r="T85">
        <v>0</v>
      </c>
      <c r="U85">
        <v>0</v>
      </c>
      <c r="V85">
        <v>2</v>
      </c>
      <c r="Z85" t="s">
        <v>288</v>
      </c>
      <c r="AC85" s="74" t="s">
        <v>787</v>
      </c>
      <c r="AD85" t="s">
        <v>794</v>
      </c>
      <c r="AE85" s="75" t="str">
        <f>HYPERLINK("https://twitter.com/lautpaku/status/1703904252450816304")</f>
        <v>https://twitter.com/lautpaku/status/1703904252450816304</v>
      </c>
      <c r="AF85" s="73">
        <v>45187.95144675926</v>
      </c>
      <c r="AG85" s="77">
        <v>45187</v>
      </c>
      <c r="AH85" s="74" t="s">
        <v>868</v>
      </c>
      <c r="AV85" s="75" t="str">
        <f>HYPERLINK("https://pbs.twimg.com/profile_images/1345422152057593861/mIjaY78H_normal.jpg")</f>
        <v>https://pbs.twimg.com/profile_images/1345422152057593861/mIjaY78H_normal.jpg</v>
      </c>
      <c r="AW85" s="74" t="s">
        <v>1089</v>
      </c>
      <c r="AX85" s="74" t="s">
        <v>1140</v>
      </c>
      <c r="AY85" s="74" t="s">
        <v>1323</v>
      </c>
      <c r="AZ85" s="74" t="s">
        <v>1140</v>
      </c>
      <c r="BA85" s="74" t="s">
        <v>1384</v>
      </c>
      <c r="BB85" s="74" t="s">
        <v>1384</v>
      </c>
      <c r="BC85" s="74" t="s">
        <v>1140</v>
      </c>
      <c r="BD85" s="74" t="s">
        <v>1429</v>
      </c>
      <c r="BJ85" s="44">
        <v>4</v>
      </c>
      <c r="BK85" s="45">
        <v>26.666666666666668</v>
      </c>
      <c r="BL85" s="44">
        <v>0</v>
      </c>
      <c r="BM85" s="45">
        <v>0</v>
      </c>
      <c r="BN85" s="44">
        <v>0</v>
      </c>
      <c r="BO85" s="45">
        <v>0</v>
      </c>
      <c r="BP85" s="44">
        <v>11</v>
      </c>
      <c r="BQ85" s="45">
        <v>73.33333333333333</v>
      </c>
      <c r="BR85" s="44">
        <v>15</v>
      </c>
      <c r="BS85">
        <v>8</v>
      </c>
      <c r="BT85" s="112" t="str">
        <f>REPLACE(INDEX(GroupVertices[Group],MATCH("~"&amp;Edges[[#This Row],[Vertex 1]],GroupVertices[Vertex],0)),1,1,"")</f>
        <v>12</v>
      </c>
      <c r="BU85" s="112" t="str">
        <f>REPLACE(INDEX(GroupVertices[Group],MATCH("~"&amp;Edges[[#This Row],[Vertex 2]],GroupVertices[Vertex],0)),1,1,"")</f>
        <v>12</v>
      </c>
    </row>
    <row r="86" spans="1:73" ht="15">
      <c r="A86" s="59" t="s">
        <v>261</v>
      </c>
      <c r="B86" s="59" t="s">
        <v>261</v>
      </c>
      <c r="C86" s="60"/>
      <c r="D86" s="61"/>
      <c r="E86" s="62"/>
      <c r="F86" s="63"/>
      <c r="G86" s="60"/>
      <c r="H86" s="64"/>
      <c r="I86" s="65"/>
      <c r="J86" s="65"/>
      <c r="K86" s="30" t="s">
        <v>65</v>
      </c>
      <c r="L86" s="72">
        <v>86</v>
      </c>
      <c r="M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6" s="67"/>
      <c r="O86" t="s">
        <v>177</v>
      </c>
      <c r="P86" s="73">
        <v>44573.44085648148</v>
      </c>
      <c r="Q86" t="s">
        <v>555</v>
      </c>
      <c r="R86">
        <v>12</v>
      </c>
      <c r="S86">
        <v>33</v>
      </c>
      <c r="T86">
        <v>2</v>
      </c>
      <c r="U86">
        <v>1</v>
      </c>
      <c r="X86"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86" t="s">
        <v>714</v>
      </c>
      <c r="AC86" s="74" t="s">
        <v>787</v>
      </c>
      <c r="AD86" t="s">
        <v>794</v>
      </c>
      <c r="AE86" s="75" t="str">
        <f>HYPERLINK("https://twitter.com/dennyindrayana/status/1481213070253129728")</f>
        <v>https://twitter.com/dennyindrayana/status/1481213070253129728</v>
      </c>
      <c r="AF86" s="73">
        <v>44573.44085648148</v>
      </c>
      <c r="AG86" s="77">
        <v>44573</v>
      </c>
      <c r="AH86" s="74" t="s">
        <v>869</v>
      </c>
      <c r="AI86" t="b">
        <v>0</v>
      </c>
      <c r="AV86" s="75" t="str">
        <f>HYPERLINK("https://pbs.twimg.com/profile_images/1568833724875440135/cICvlWFp_normal.jpg")</f>
        <v>https://pbs.twimg.com/profile_images/1568833724875440135/cICvlWFp_normal.jpg</v>
      </c>
      <c r="AW86" s="74" t="s">
        <v>1090</v>
      </c>
      <c r="AX86" s="74" t="s">
        <v>1090</v>
      </c>
      <c r="AZ86" s="74" t="s">
        <v>1384</v>
      </c>
      <c r="BA86" s="74" t="s">
        <v>1384</v>
      </c>
      <c r="BB86" s="74" t="s">
        <v>1384</v>
      </c>
      <c r="BC86" s="74" t="s">
        <v>1090</v>
      </c>
      <c r="BD86">
        <v>122804908</v>
      </c>
      <c r="BJ86" s="44">
        <v>5</v>
      </c>
      <c r="BK86" s="45">
        <v>20</v>
      </c>
      <c r="BL86" s="44">
        <v>1</v>
      </c>
      <c r="BM86" s="45">
        <v>4</v>
      </c>
      <c r="BN86" s="44">
        <v>0</v>
      </c>
      <c r="BO86" s="45">
        <v>0</v>
      </c>
      <c r="BP86" s="44">
        <v>18</v>
      </c>
      <c r="BQ86" s="45">
        <v>72</v>
      </c>
      <c r="BR86" s="44">
        <v>25</v>
      </c>
      <c r="BS86">
        <v>8</v>
      </c>
      <c r="BT86" s="112" t="str">
        <f>REPLACE(INDEX(GroupVertices[Group],MATCH("~"&amp;Edges[[#This Row],[Vertex 1]],GroupVertices[Vertex],0)),1,1,"")</f>
        <v>11</v>
      </c>
      <c r="BU86" s="112" t="str">
        <f>REPLACE(INDEX(GroupVertices[Group],MATCH("~"&amp;Edges[[#This Row],[Vertex 2]],GroupVertices[Vertex],0)),1,1,"")</f>
        <v>11</v>
      </c>
    </row>
    <row r="87" spans="1:73" ht="15">
      <c r="A87" s="59" t="s">
        <v>262</v>
      </c>
      <c r="B87" s="59" t="s">
        <v>261</v>
      </c>
      <c r="C87" s="60"/>
      <c r="D87" s="61"/>
      <c r="E87" s="62"/>
      <c r="F87" s="63"/>
      <c r="G87" s="60"/>
      <c r="H87" s="64"/>
      <c r="I87" s="65"/>
      <c r="J87" s="65"/>
      <c r="K87" s="30" t="s">
        <v>65</v>
      </c>
      <c r="L87" s="72">
        <v>87</v>
      </c>
      <c r="M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7" s="67"/>
      <c r="O87" t="s">
        <v>484</v>
      </c>
      <c r="P87" s="73">
        <v>44573.4444212963</v>
      </c>
      <c r="Q87" t="s">
        <v>556</v>
      </c>
      <c r="R87">
        <v>0</v>
      </c>
      <c r="S87">
        <v>0</v>
      </c>
      <c r="T87">
        <v>0</v>
      </c>
      <c r="U87">
        <v>0</v>
      </c>
      <c r="W87" s="74" t="s">
        <v>682</v>
      </c>
      <c r="AA87" t="s">
        <v>768</v>
      </c>
      <c r="AB87" t="s">
        <v>784</v>
      </c>
      <c r="AC87" s="74" t="s">
        <v>787</v>
      </c>
      <c r="AD87" t="s">
        <v>794</v>
      </c>
      <c r="AE87" s="75" t="str">
        <f>HYPERLINK("https://twitter.com/vandinnie/status/1481214364896346112")</f>
        <v>https://twitter.com/vandinnie/status/1481214364896346112</v>
      </c>
      <c r="AF87" s="73">
        <v>44573.4444212963</v>
      </c>
      <c r="AG87" s="77">
        <v>44573</v>
      </c>
      <c r="AH87" s="74" t="s">
        <v>870</v>
      </c>
      <c r="AI87" t="b">
        <v>0</v>
      </c>
      <c r="AQ87" t="s">
        <v>1006</v>
      </c>
      <c r="AR87">
        <v>23033</v>
      </c>
      <c r="AV87" s="75" t="str">
        <f>HYPERLINK("https://pbs.twimg.com/ext_tw_video_thumb/1481214292691394566/pu/img/hv3TjHLTiL8hT7VF.jpg")</f>
        <v>https://pbs.twimg.com/ext_tw_video_thumb/1481214292691394566/pu/img/hv3TjHLTiL8hT7VF.jpg</v>
      </c>
      <c r="AW87" s="74" t="s">
        <v>1091</v>
      </c>
      <c r="AX87" s="74" t="s">
        <v>1091</v>
      </c>
      <c r="AZ87" s="74" t="s">
        <v>1384</v>
      </c>
      <c r="BA87" s="74" t="s">
        <v>1090</v>
      </c>
      <c r="BB87" s="74" t="s">
        <v>1384</v>
      </c>
      <c r="BC87" s="74" t="s">
        <v>1090</v>
      </c>
      <c r="BD87" s="74" t="s">
        <v>1430</v>
      </c>
      <c r="BJ87" s="44">
        <v>1</v>
      </c>
      <c r="BK87" s="45">
        <v>6.25</v>
      </c>
      <c r="BL87" s="44">
        <v>2</v>
      </c>
      <c r="BM87" s="45">
        <v>12.5</v>
      </c>
      <c r="BN87" s="44">
        <v>0</v>
      </c>
      <c r="BO87" s="45">
        <v>0</v>
      </c>
      <c r="BP87" s="44">
        <v>13</v>
      </c>
      <c r="BQ87" s="45">
        <v>81.25</v>
      </c>
      <c r="BR87" s="44">
        <v>16</v>
      </c>
      <c r="BS87">
        <v>1</v>
      </c>
      <c r="BT87" s="112" t="str">
        <f>REPLACE(INDEX(GroupVertices[Group],MATCH("~"&amp;Edges[[#This Row],[Vertex 1]],GroupVertices[Vertex],0)),1,1,"")</f>
        <v>11</v>
      </c>
      <c r="BU87" s="112" t="str">
        <f>REPLACE(INDEX(GroupVertices[Group],MATCH("~"&amp;Edges[[#This Row],[Vertex 2]],GroupVertices[Vertex],0)),1,1,"")</f>
        <v>11</v>
      </c>
    </row>
    <row r="88" spans="1:73" ht="15">
      <c r="A88" s="59" t="s">
        <v>262</v>
      </c>
      <c r="B88" s="59" t="s">
        <v>262</v>
      </c>
      <c r="C88" s="60"/>
      <c r="D88" s="61"/>
      <c r="E88" s="62"/>
      <c r="F88" s="63"/>
      <c r="G88" s="60"/>
      <c r="H88" s="64"/>
      <c r="I88" s="65"/>
      <c r="J88" s="65"/>
      <c r="K88" s="30" t="s">
        <v>65</v>
      </c>
      <c r="L88" s="72">
        <v>88</v>
      </c>
      <c r="M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8" s="67"/>
      <c r="O88" t="s">
        <v>177</v>
      </c>
      <c r="P88" s="73">
        <v>44540.49451388889</v>
      </c>
      <c r="Q88" t="s">
        <v>557</v>
      </c>
      <c r="R88">
        <v>2</v>
      </c>
      <c r="S88">
        <v>4</v>
      </c>
      <c r="T88">
        <v>0</v>
      </c>
      <c r="U88">
        <v>0</v>
      </c>
      <c r="W88" s="74" t="s">
        <v>691</v>
      </c>
      <c r="AA88" t="s">
        <v>769</v>
      </c>
      <c r="AB88" t="s">
        <v>783</v>
      </c>
      <c r="AC88" s="74" t="s">
        <v>787</v>
      </c>
      <c r="AD88" t="s">
        <v>794</v>
      </c>
      <c r="AE88" s="75" t="str">
        <f>HYPERLINK("https://twitter.com/vandinnie/status/1469273715389075456")</f>
        <v>https://twitter.com/vandinnie/status/1469273715389075456</v>
      </c>
      <c r="AF88" s="73">
        <v>44540.49451388889</v>
      </c>
      <c r="AG88" s="77">
        <v>44540</v>
      </c>
      <c r="AH88" s="74" t="s">
        <v>871</v>
      </c>
      <c r="AI88" t="b">
        <v>0</v>
      </c>
      <c r="AQ88" t="s">
        <v>1007</v>
      </c>
      <c r="AV88" s="75" t="str">
        <f>HYPERLINK("https://pbs.twimg.com/media/FGPopCrUUAECI3u.jpg")</f>
        <v>https://pbs.twimg.com/media/FGPopCrUUAECI3u.jpg</v>
      </c>
      <c r="AW88" s="74" t="s">
        <v>1092</v>
      </c>
      <c r="AX88" s="74" t="s">
        <v>1092</v>
      </c>
      <c r="AZ88" s="74" t="s">
        <v>1384</v>
      </c>
      <c r="BA88" s="74" t="s">
        <v>1384</v>
      </c>
      <c r="BB88" s="74" t="s">
        <v>1384</v>
      </c>
      <c r="BC88" s="74" t="s">
        <v>1092</v>
      </c>
      <c r="BD88" s="74" t="s">
        <v>1430</v>
      </c>
      <c r="BJ88" s="44">
        <v>4</v>
      </c>
      <c r="BK88" s="45">
        <v>14.285714285714286</v>
      </c>
      <c r="BL88" s="44">
        <v>1</v>
      </c>
      <c r="BM88" s="45">
        <v>3.5714285714285716</v>
      </c>
      <c r="BN88" s="44">
        <v>0</v>
      </c>
      <c r="BO88" s="45">
        <v>0</v>
      </c>
      <c r="BP88" s="44">
        <v>23</v>
      </c>
      <c r="BQ88" s="45">
        <v>82.14285714285714</v>
      </c>
      <c r="BR88" s="44">
        <v>28</v>
      </c>
      <c r="BS88">
        <v>64</v>
      </c>
      <c r="BT88" s="112" t="str">
        <f>REPLACE(INDEX(GroupVertices[Group],MATCH("~"&amp;Edges[[#This Row],[Vertex 1]],GroupVertices[Vertex],0)),1,1,"")</f>
        <v>11</v>
      </c>
      <c r="BU88" s="112" t="str">
        <f>REPLACE(INDEX(GroupVertices[Group],MATCH("~"&amp;Edges[[#This Row],[Vertex 2]],GroupVertices[Vertex],0)),1,1,"")</f>
        <v>11</v>
      </c>
    </row>
    <row r="89" spans="1:73" ht="15">
      <c r="A89" s="59" t="s">
        <v>262</v>
      </c>
      <c r="B89" s="59" t="s">
        <v>341</v>
      </c>
      <c r="C89" s="60"/>
      <c r="D89" s="61"/>
      <c r="E89" s="62"/>
      <c r="F89" s="63"/>
      <c r="G89" s="60"/>
      <c r="H89" s="64"/>
      <c r="I89" s="65"/>
      <c r="J89" s="65"/>
      <c r="K89" s="30" t="s">
        <v>65</v>
      </c>
      <c r="L89" s="72">
        <v>89</v>
      </c>
      <c r="M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9" s="67"/>
      <c r="O89" t="s">
        <v>484</v>
      </c>
      <c r="P89" s="73">
        <v>44572.18104166666</v>
      </c>
      <c r="Q89" t="s">
        <v>558</v>
      </c>
      <c r="R89">
        <v>1</v>
      </c>
      <c r="S89">
        <v>3</v>
      </c>
      <c r="T89">
        <v>0</v>
      </c>
      <c r="U89">
        <v>0</v>
      </c>
      <c r="W89" s="74" t="s">
        <v>692</v>
      </c>
      <c r="AC89" s="74" t="s">
        <v>787</v>
      </c>
      <c r="AD89" t="s">
        <v>795</v>
      </c>
      <c r="AE89" s="75" t="str">
        <f>HYPERLINK("https://twitter.com/vandinnie/status/1480756529326280705")</f>
        <v>https://twitter.com/vandinnie/status/1480756529326280705</v>
      </c>
      <c r="AF89" s="73">
        <v>44572.18104166666</v>
      </c>
      <c r="AG89" s="77">
        <v>44572</v>
      </c>
      <c r="AH89" s="74" t="s">
        <v>872</v>
      </c>
      <c r="AV89" s="75" t="str">
        <f>HYPERLINK("https://pbs.twimg.com/profile_images/1685494956864180224/Y08DGzcI_normal.jpg")</f>
        <v>https://pbs.twimg.com/profile_images/1685494956864180224/Y08DGzcI_normal.jpg</v>
      </c>
      <c r="AW89" s="74" t="s">
        <v>1093</v>
      </c>
      <c r="AX89" s="74" t="s">
        <v>1093</v>
      </c>
      <c r="AZ89" s="74" t="s">
        <v>1384</v>
      </c>
      <c r="BA89" s="74" t="s">
        <v>1223</v>
      </c>
      <c r="BB89" s="74" t="s">
        <v>1384</v>
      </c>
      <c r="BC89" s="74" t="s">
        <v>1223</v>
      </c>
      <c r="BD89" s="74" t="s">
        <v>1430</v>
      </c>
      <c r="BJ89" s="44">
        <v>0</v>
      </c>
      <c r="BK89" s="45">
        <v>0</v>
      </c>
      <c r="BL89" s="44">
        <v>0</v>
      </c>
      <c r="BM89" s="45">
        <v>0</v>
      </c>
      <c r="BN89" s="44">
        <v>0</v>
      </c>
      <c r="BO89" s="45">
        <v>0</v>
      </c>
      <c r="BP89" s="44">
        <v>2</v>
      </c>
      <c r="BQ89" s="45">
        <v>100</v>
      </c>
      <c r="BR89" s="44">
        <v>2</v>
      </c>
      <c r="BS89">
        <v>1</v>
      </c>
      <c r="BT89" s="112" t="str">
        <f>REPLACE(INDEX(GroupVertices[Group],MATCH("~"&amp;Edges[[#This Row],[Vertex 1]],GroupVertices[Vertex],0)),1,1,"")</f>
        <v>11</v>
      </c>
      <c r="BU89" s="112" t="str">
        <f>REPLACE(INDEX(GroupVertices[Group],MATCH("~"&amp;Edges[[#This Row],[Vertex 2]],GroupVertices[Vertex],0)),1,1,"")</f>
        <v>6</v>
      </c>
    </row>
    <row r="90" spans="1:73" ht="15">
      <c r="A90" s="59" t="s">
        <v>262</v>
      </c>
      <c r="B90" s="59" t="s">
        <v>314</v>
      </c>
      <c r="C90" s="60"/>
      <c r="D90" s="61"/>
      <c r="E90" s="62"/>
      <c r="F90" s="63"/>
      <c r="G90" s="60"/>
      <c r="H90" s="64"/>
      <c r="I90" s="65"/>
      <c r="J90" s="65"/>
      <c r="K90" s="30" t="s">
        <v>65</v>
      </c>
      <c r="L90" s="72">
        <v>90</v>
      </c>
      <c r="M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0" s="67"/>
      <c r="O90" t="s">
        <v>484</v>
      </c>
      <c r="P90" s="73">
        <v>44579.2509375</v>
      </c>
      <c r="Q90" t="s">
        <v>559</v>
      </c>
      <c r="R90">
        <v>0</v>
      </c>
      <c r="S90">
        <v>0</v>
      </c>
      <c r="T90">
        <v>0</v>
      </c>
      <c r="U90">
        <v>0</v>
      </c>
      <c r="W90" s="74" t="s">
        <v>693</v>
      </c>
      <c r="AC90" s="74" t="s">
        <v>787</v>
      </c>
      <c r="AD90" t="s">
        <v>794</v>
      </c>
      <c r="AE90" s="75" t="str">
        <f>HYPERLINK("https://twitter.com/vandinnie/status/1483318576337793025")</f>
        <v>https://twitter.com/vandinnie/status/1483318576337793025</v>
      </c>
      <c r="AF90" s="73">
        <v>44579.2509375</v>
      </c>
      <c r="AG90" s="77">
        <v>44579</v>
      </c>
      <c r="AH90" s="74" t="s">
        <v>873</v>
      </c>
      <c r="AV90" s="75" t="str">
        <f>HYPERLINK("https://pbs.twimg.com/profile_images/1685494956864180224/Y08DGzcI_normal.jpg")</f>
        <v>https://pbs.twimg.com/profile_images/1685494956864180224/Y08DGzcI_normal.jpg</v>
      </c>
      <c r="AW90" s="74" t="s">
        <v>1094</v>
      </c>
      <c r="AX90" s="74" t="s">
        <v>1094</v>
      </c>
      <c r="AZ90" s="74" t="s">
        <v>1384</v>
      </c>
      <c r="BA90" s="74" t="s">
        <v>1173</v>
      </c>
      <c r="BB90" s="74" t="s">
        <v>1384</v>
      </c>
      <c r="BC90" s="74" t="s">
        <v>1173</v>
      </c>
      <c r="BD90" s="74" t="s">
        <v>1430</v>
      </c>
      <c r="BJ90" s="44">
        <v>4</v>
      </c>
      <c r="BK90" s="45">
        <v>40</v>
      </c>
      <c r="BL90" s="44">
        <v>0</v>
      </c>
      <c r="BM90" s="45">
        <v>0</v>
      </c>
      <c r="BN90" s="44">
        <v>0</v>
      </c>
      <c r="BO90" s="45">
        <v>0</v>
      </c>
      <c r="BP90" s="44">
        <v>6</v>
      </c>
      <c r="BQ90" s="45">
        <v>60</v>
      </c>
      <c r="BR90" s="44">
        <v>10</v>
      </c>
      <c r="BS90">
        <v>1</v>
      </c>
      <c r="BT90" s="112" t="str">
        <f>REPLACE(INDEX(GroupVertices[Group],MATCH("~"&amp;Edges[[#This Row],[Vertex 1]],GroupVertices[Vertex],0)),1,1,"")</f>
        <v>11</v>
      </c>
      <c r="BU90" s="112" t="str">
        <f>REPLACE(INDEX(GroupVertices[Group],MATCH("~"&amp;Edges[[#This Row],[Vertex 2]],GroupVertices[Vertex],0)),1,1,"")</f>
        <v>11</v>
      </c>
    </row>
    <row r="91" spans="1:73" ht="15">
      <c r="A91" s="59" t="s">
        <v>263</v>
      </c>
      <c r="B91" s="59" t="s">
        <v>328</v>
      </c>
      <c r="C91" s="60"/>
      <c r="D91" s="61"/>
      <c r="E91" s="62"/>
      <c r="F91" s="63"/>
      <c r="G91" s="60"/>
      <c r="H91" s="64"/>
      <c r="I91" s="65"/>
      <c r="J91" s="65"/>
      <c r="K91" s="30" t="s">
        <v>65</v>
      </c>
      <c r="L91" s="72">
        <v>91</v>
      </c>
      <c r="M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1" s="67"/>
      <c r="O91" t="s">
        <v>482</v>
      </c>
      <c r="P91" s="73">
        <v>44859.659212962964</v>
      </c>
      <c r="Q91" t="s">
        <v>560</v>
      </c>
      <c r="R91">
        <v>0</v>
      </c>
      <c r="S91">
        <v>0</v>
      </c>
      <c r="T91">
        <v>0</v>
      </c>
      <c r="U91">
        <v>0</v>
      </c>
      <c r="Z91" t="s">
        <v>328</v>
      </c>
      <c r="AC91" s="74" t="s">
        <v>787</v>
      </c>
      <c r="AD91" t="s">
        <v>794</v>
      </c>
      <c r="AE91" s="75" t="str">
        <f>HYPERLINK("https://twitter.com/selamanyamulyo/status/1584935131927957504")</f>
        <v>https://twitter.com/selamanyamulyo/status/1584935131927957504</v>
      </c>
      <c r="AF91" s="73">
        <v>44859.659212962964</v>
      </c>
      <c r="AG91" s="77">
        <v>44859</v>
      </c>
      <c r="AH91" s="74" t="s">
        <v>874</v>
      </c>
      <c r="AV91" s="75" t="str">
        <f>HYPERLINK("https://abs.twimg.com/sticky/default_profile_images/default_profile_normal.png")</f>
        <v>https://abs.twimg.com/sticky/default_profile_images/default_profile_normal.png</v>
      </c>
      <c r="AW91" s="74" t="s">
        <v>1095</v>
      </c>
      <c r="AX91" s="74" t="s">
        <v>1268</v>
      </c>
      <c r="AY91" s="74" t="s">
        <v>1318</v>
      </c>
      <c r="AZ91" s="74" t="s">
        <v>1268</v>
      </c>
      <c r="BA91" s="74" t="s">
        <v>1384</v>
      </c>
      <c r="BB91" s="74" t="s">
        <v>1384</v>
      </c>
      <c r="BC91" s="74" t="s">
        <v>1268</v>
      </c>
      <c r="BD91" s="74" t="s">
        <v>1431</v>
      </c>
      <c r="BJ91" s="44">
        <v>4</v>
      </c>
      <c r="BK91" s="45">
        <v>25</v>
      </c>
      <c r="BL91" s="44">
        <v>0</v>
      </c>
      <c r="BM91" s="45">
        <v>0</v>
      </c>
      <c r="BN91" s="44">
        <v>0</v>
      </c>
      <c r="BO91" s="45">
        <v>0</v>
      </c>
      <c r="BP91" s="44">
        <v>12</v>
      </c>
      <c r="BQ91" s="45">
        <v>75</v>
      </c>
      <c r="BR91" s="44">
        <v>16</v>
      </c>
      <c r="BS91">
        <v>1</v>
      </c>
      <c r="BT91" s="112" t="str">
        <f>REPLACE(INDEX(GroupVertices[Group],MATCH("~"&amp;Edges[[#This Row],[Vertex 1]],GroupVertices[Vertex],0)),1,1,"")</f>
        <v>19</v>
      </c>
      <c r="BU91" s="112" t="str">
        <f>REPLACE(INDEX(GroupVertices[Group],MATCH("~"&amp;Edges[[#This Row],[Vertex 2]],GroupVertices[Vertex],0)),1,1,"")</f>
        <v>19</v>
      </c>
    </row>
    <row r="92" spans="1:73" ht="15">
      <c r="A92" s="59" t="s">
        <v>264</v>
      </c>
      <c r="B92" s="59" t="s">
        <v>379</v>
      </c>
      <c r="C92" s="60"/>
      <c r="D92" s="61"/>
      <c r="E92" s="62"/>
      <c r="F92" s="63"/>
      <c r="G92" s="60"/>
      <c r="H92" s="64"/>
      <c r="I92" s="65"/>
      <c r="J92" s="65"/>
      <c r="K92" s="30" t="s">
        <v>65</v>
      </c>
      <c r="L92" s="72">
        <v>92</v>
      </c>
      <c r="M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2" s="67"/>
      <c r="O92" t="s">
        <v>483</v>
      </c>
      <c r="P92" s="73">
        <v>45147.72190972222</v>
      </c>
      <c r="Q92" t="s">
        <v>561</v>
      </c>
      <c r="R92">
        <v>0</v>
      </c>
      <c r="S92">
        <v>0</v>
      </c>
      <c r="T92">
        <v>0</v>
      </c>
      <c r="U92">
        <v>0</v>
      </c>
      <c r="V92">
        <v>5</v>
      </c>
      <c r="Z92" t="s">
        <v>738</v>
      </c>
      <c r="AC92" s="74" t="s">
        <v>787</v>
      </c>
      <c r="AD92" t="s">
        <v>794</v>
      </c>
      <c r="AE92" s="75" t="str">
        <f>HYPERLINK("https://twitter.com/maknyinyik/status/1689325558642221056")</f>
        <v>https://twitter.com/maknyinyik/status/1689325558642221056</v>
      </c>
      <c r="AF92" s="73">
        <v>45147.72190972222</v>
      </c>
      <c r="AG92" s="77">
        <v>45147</v>
      </c>
      <c r="AH92" s="74" t="s">
        <v>875</v>
      </c>
      <c r="AV92" s="75" t="str">
        <f>HYPERLINK("https://pbs.twimg.com/profile_images/1604770180844097538/-ru78odx_normal.jpg")</f>
        <v>https://pbs.twimg.com/profile_images/1604770180844097538/-ru78odx_normal.jpg</v>
      </c>
      <c r="AW92" s="74" t="s">
        <v>1096</v>
      </c>
      <c r="AX92" s="74" t="s">
        <v>1269</v>
      </c>
      <c r="AY92" s="74" t="s">
        <v>1347</v>
      </c>
      <c r="AZ92" s="74" t="s">
        <v>1390</v>
      </c>
      <c r="BA92" s="74" t="s">
        <v>1384</v>
      </c>
      <c r="BB92" s="74" t="s">
        <v>1384</v>
      </c>
      <c r="BC92" s="74" t="s">
        <v>1390</v>
      </c>
      <c r="BD92" s="74" t="s">
        <v>1432</v>
      </c>
      <c r="BJ92" s="44"/>
      <c r="BK92" s="45"/>
      <c r="BL92" s="44"/>
      <c r="BM92" s="45"/>
      <c r="BN92" s="44"/>
      <c r="BO92" s="45"/>
      <c r="BP92" s="44"/>
      <c r="BQ92" s="45"/>
      <c r="BR92" s="44"/>
      <c r="BS92">
        <v>1</v>
      </c>
      <c r="BT92" s="112" t="str">
        <f>REPLACE(INDEX(GroupVertices[Group],MATCH("~"&amp;Edges[[#This Row],[Vertex 1]],GroupVertices[Vertex],0)),1,1,"")</f>
        <v>21</v>
      </c>
      <c r="BU92" s="112" t="str">
        <f>REPLACE(INDEX(GroupVertices[Group],MATCH("~"&amp;Edges[[#This Row],[Vertex 2]],GroupVertices[Vertex],0)),1,1,"")</f>
        <v>21</v>
      </c>
    </row>
    <row r="93" spans="1:73" ht="15">
      <c r="A93" s="59" t="s">
        <v>264</v>
      </c>
      <c r="B93" s="59" t="s">
        <v>380</v>
      </c>
      <c r="C93" s="60"/>
      <c r="D93" s="61"/>
      <c r="E93" s="62"/>
      <c r="F93" s="63"/>
      <c r="G93" s="60"/>
      <c r="H93" s="64"/>
      <c r="I93" s="65"/>
      <c r="J93" s="65"/>
      <c r="K93" s="30" t="s">
        <v>65</v>
      </c>
      <c r="L93" s="72">
        <v>93</v>
      </c>
      <c r="M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3" s="67"/>
      <c r="O93" t="s">
        <v>482</v>
      </c>
      <c r="P93" s="73">
        <v>45147.72190972222</v>
      </c>
      <c r="Q93" t="s">
        <v>561</v>
      </c>
      <c r="R93">
        <v>0</v>
      </c>
      <c r="S93">
        <v>0</v>
      </c>
      <c r="T93">
        <v>0</v>
      </c>
      <c r="U93">
        <v>0</v>
      </c>
      <c r="V93">
        <v>5</v>
      </c>
      <c r="Z93" t="s">
        <v>738</v>
      </c>
      <c r="AC93" s="74" t="s">
        <v>787</v>
      </c>
      <c r="AD93" t="s">
        <v>794</v>
      </c>
      <c r="AE93" s="75" t="str">
        <f>HYPERLINK("https://twitter.com/maknyinyik/status/1689325558642221056")</f>
        <v>https://twitter.com/maknyinyik/status/1689325558642221056</v>
      </c>
      <c r="AF93" s="73">
        <v>45147.72190972222</v>
      </c>
      <c r="AG93" s="77">
        <v>45147</v>
      </c>
      <c r="AH93" s="74" t="s">
        <v>875</v>
      </c>
      <c r="AV93" s="75" t="str">
        <f>HYPERLINK("https://pbs.twimg.com/profile_images/1604770180844097538/-ru78odx_normal.jpg")</f>
        <v>https://pbs.twimg.com/profile_images/1604770180844097538/-ru78odx_normal.jpg</v>
      </c>
      <c r="AW93" s="74" t="s">
        <v>1096</v>
      </c>
      <c r="AX93" s="74" t="s">
        <v>1269</v>
      </c>
      <c r="AY93" s="74" t="s">
        <v>1347</v>
      </c>
      <c r="AZ93" s="74" t="s">
        <v>1390</v>
      </c>
      <c r="BA93" s="74" t="s">
        <v>1384</v>
      </c>
      <c r="BB93" s="74" t="s">
        <v>1384</v>
      </c>
      <c r="BC93" s="74" t="s">
        <v>1390</v>
      </c>
      <c r="BD93" s="74" t="s">
        <v>1432</v>
      </c>
      <c r="BJ93" s="44">
        <v>12</v>
      </c>
      <c r="BK93" s="45">
        <v>33.333333333333336</v>
      </c>
      <c r="BL93" s="44">
        <v>0</v>
      </c>
      <c r="BM93" s="45">
        <v>0</v>
      </c>
      <c r="BN93" s="44">
        <v>0</v>
      </c>
      <c r="BO93" s="45">
        <v>0</v>
      </c>
      <c r="BP93" s="44">
        <v>24</v>
      </c>
      <c r="BQ93" s="45">
        <v>66.66666666666667</v>
      </c>
      <c r="BR93" s="44">
        <v>36</v>
      </c>
      <c r="BS93">
        <v>1</v>
      </c>
      <c r="BT93" s="112" t="str">
        <f>REPLACE(INDEX(GroupVertices[Group],MATCH("~"&amp;Edges[[#This Row],[Vertex 1]],GroupVertices[Vertex],0)),1,1,"")</f>
        <v>21</v>
      </c>
      <c r="BU93" s="112" t="str">
        <f>REPLACE(INDEX(GroupVertices[Group],MATCH("~"&amp;Edges[[#This Row],[Vertex 2]],GroupVertices[Vertex],0)),1,1,"")</f>
        <v>21</v>
      </c>
    </row>
    <row r="94" spans="1:73" ht="15">
      <c r="A94" s="59" t="s">
        <v>265</v>
      </c>
      <c r="B94" s="59" t="s">
        <v>381</v>
      </c>
      <c r="C94" s="60"/>
      <c r="D94" s="61"/>
      <c r="E94" s="62"/>
      <c r="F94" s="63"/>
      <c r="G94" s="60"/>
      <c r="H94" s="64"/>
      <c r="I94" s="65"/>
      <c r="J94" s="65"/>
      <c r="K94" s="30" t="s">
        <v>65</v>
      </c>
      <c r="L94" s="72">
        <v>94</v>
      </c>
      <c r="M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4" s="67"/>
      <c r="O94" t="s">
        <v>482</v>
      </c>
      <c r="P94" s="73">
        <v>44550.106307870374</v>
      </c>
      <c r="Q94" t="s">
        <v>562</v>
      </c>
      <c r="R94">
        <v>0</v>
      </c>
      <c r="S94">
        <v>0</v>
      </c>
      <c r="T94">
        <v>1</v>
      </c>
      <c r="U94">
        <v>0</v>
      </c>
      <c r="AC94" s="74" t="s">
        <v>787</v>
      </c>
      <c r="AD94" t="s">
        <v>794</v>
      </c>
      <c r="AE94" s="75" t="str">
        <f>HYPERLINK("https://twitter.com/ahmadmuda19/status/1472756912701599745")</f>
        <v>https://twitter.com/ahmadmuda19/status/1472756912701599745</v>
      </c>
      <c r="AF94" s="73">
        <v>44550.106307870374</v>
      </c>
      <c r="AG94" s="77">
        <v>44550</v>
      </c>
      <c r="AH94" s="74" t="s">
        <v>876</v>
      </c>
      <c r="AV94" s="75" t="str">
        <f>HYPERLINK("https://pbs.twimg.com/profile_images/1332673855308013568/LPphjciL_normal.jpg")</f>
        <v>https://pbs.twimg.com/profile_images/1332673855308013568/LPphjciL_normal.jpg</v>
      </c>
      <c r="AW94" s="74" t="s">
        <v>1097</v>
      </c>
      <c r="AX94" s="74" t="s">
        <v>1270</v>
      </c>
      <c r="AY94" s="74" t="s">
        <v>1348</v>
      </c>
      <c r="AZ94" s="74" t="s">
        <v>1270</v>
      </c>
      <c r="BA94" s="74" t="s">
        <v>1384</v>
      </c>
      <c r="BB94" s="74" t="s">
        <v>1384</v>
      </c>
      <c r="BC94" s="74" t="s">
        <v>1270</v>
      </c>
      <c r="BD94" s="74" t="s">
        <v>1433</v>
      </c>
      <c r="BJ94" s="44">
        <v>6</v>
      </c>
      <c r="BK94" s="45">
        <v>33.333333333333336</v>
      </c>
      <c r="BL94" s="44">
        <v>0</v>
      </c>
      <c r="BM94" s="45">
        <v>0</v>
      </c>
      <c r="BN94" s="44">
        <v>0</v>
      </c>
      <c r="BO94" s="45">
        <v>0</v>
      </c>
      <c r="BP94" s="44">
        <v>12</v>
      </c>
      <c r="BQ94" s="45">
        <v>66.66666666666667</v>
      </c>
      <c r="BR94" s="44">
        <v>18</v>
      </c>
      <c r="BS94">
        <v>1</v>
      </c>
      <c r="BT94" s="112" t="str">
        <f>REPLACE(INDEX(GroupVertices[Group],MATCH("~"&amp;Edges[[#This Row],[Vertex 1]],GroupVertices[Vertex],0)),1,1,"")</f>
        <v>35</v>
      </c>
      <c r="BU94" s="112" t="str">
        <f>REPLACE(INDEX(GroupVertices[Group],MATCH("~"&amp;Edges[[#This Row],[Vertex 2]],GroupVertices[Vertex],0)),1,1,"")</f>
        <v>35</v>
      </c>
    </row>
    <row r="95" spans="1:73" ht="15">
      <c r="A95" s="59" t="s">
        <v>266</v>
      </c>
      <c r="B95" s="59" t="s">
        <v>382</v>
      </c>
      <c r="C95" s="60"/>
      <c r="D95" s="61"/>
      <c r="E95" s="62"/>
      <c r="F95" s="63"/>
      <c r="G95" s="60"/>
      <c r="H95" s="64"/>
      <c r="I95" s="65"/>
      <c r="J95" s="65"/>
      <c r="K95" s="30" t="s">
        <v>65</v>
      </c>
      <c r="L95" s="72">
        <v>95</v>
      </c>
      <c r="M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5" s="67"/>
      <c r="O95" t="s">
        <v>482</v>
      </c>
      <c r="P95" s="73">
        <v>44832.498032407406</v>
      </c>
      <c r="Q95" t="s">
        <v>563</v>
      </c>
      <c r="R95">
        <v>0</v>
      </c>
      <c r="S95">
        <v>0</v>
      </c>
      <c r="T95">
        <v>0</v>
      </c>
      <c r="U95">
        <v>0</v>
      </c>
      <c r="Z95" t="s">
        <v>382</v>
      </c>
      <c r="AC95" s="74" t="s">
        <v>787</v>
      </c>
      <c r="AD95" t="s">
        <v>794</v>
      </c>
      <c r="AE95" s="75" t="str">
        <f>HYPERLINK("https://twitter.com/takon_wong/status/1575092246734512129")</f>
        <v>https://twitter.com/takon_wong/status/1575092246734512129</v>
      </c>
      <c r="AF95" s="73">
        <v>44832.498032407406</v>
      </c>
      <c r="AG95" s="77">
        <v>44832</v>
      </c>
      <c r="AH95" s="74" t="s">
        <v>877</v>
      </c>
      <c r="AV95" s="75" t="str">
        <f>HYPERLINK("https://pbs.twimg.com/profile_images/1399507854726352900/o8qYsw4y_normal.jpg")</f>
        <v>https://pbs.twimg.com/profile_images/1399507854726352900/o8qYsw4y_normal.jpg</v>
      </c>
      <c r="AW95" s="74" t="s">
        <v>1098</v>
      </c>
      <c r="AX95" s="74" t="s">
        <v>1271</v>
      </c>
      <c r="AY95" s="74" t="s">
        <v>1349</v>
      </c>
      <c r="AZ95" s="74" t="s">
        <v>1271</v>
      </c>
      <c r="BA95" s="74" t="s">
        <v>1384</v>
      </c>
      <c r="BB95" s="74" t="s">
        <v>1384</v>
      </c>
      <c r="BC95" s="74" t="s">
        <v>1271</v>
      </c>
      <c r="BD95" s="74" t="s">
        <v>1434</v>
      </c>
      <c r="BJ95" s="44">
        <v>3</v>
      </c>
      <c r="BK95" s="45">
        <v>15.789473684210526</v>
      </c>
      <c r="BL95" s="44">
        <v>1</v>
      </c>
      <c r="BM95" s="45">
        <v>5.2631578947368425</v>
      </c>
      <c r="BN95" s="44">
        <v>0</v>
      </c>
      <c r="BO95" s="45">
        <v>0</v>
      </c>
      <c r="BP95" s="44">
        <v>15</v>
      </c>
      <c r="BQ95" s="45">
        <v>78.94736842105263</v>
      </c>
      <c r="BR95" s="44">
        <v>19</v>
      </c>
      <c r="BS95">
        <v>1</v>
      </c>
      <c r="BT95" s="112" t="str">
        <f>REPLACE(INDEX(GroupVertices[Group],MATCH("~"&amp;Edges[[#This Row],[Vertex 1]],GroupVertices[Vertex],0)),1,1,"")</f>
        <v>36</v>
      </c>
      <c r="BU95" s="112" t="str">
        <f>REPLACE(INDEX(GroupVertices[Group],MATCH("~"&amp;Edges[[#This Row],[Vertex 2]],GroupVertices[Vertex],0)),1,1,"")</f>
        <v>36</v>
      </c>
    </row>
    <row r="96" spans="1:73" ht="15">
      <c r="A96" s="59" t="s">
        <v>267</v>
      </c>
      <c r="B96" s="59" t="s">
        <v>267</v>
      </c>
      <c r="C96" s="60"/>
      <c r="D96" s="61"/>
      <c r="E96" s="62"/>
      <c r="F96" s="63"/>
      <c r="G96" s="60"/>
      <c r="H96" s="64"/>
      <c r="I96" s="65"/>
      <c r="J96" s="65"/>
      <c r="K96" s="30" t="s">
        <v>65</v>
      </c>
      <c r="L96" s="72">
        <v>96</v>
      </c>
      <c r="M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6" s="67"/>
      <c r="O96" t="s">
        <v>177</v>
      </c>
      <c r="P96" s="73">
        <v>44539.809849537036</v>
      </c>
      <c r="Q96" t="s">
        <v>564</v>
      </c>
      <c r="R96">
        <v>0</v>
      </c>
      <c r="S96">
        <v>0</v>
      </c>
      <c r="T96">
        <v>0</v>
      </c>
      <c r="U96">
        <v>0</v>
      </c>
      <c r="X96" s="75" t="str">
        <f>HYPERLINK("https://www.dailynewsindonesia.com/news/daftarkan-gugatan-pt-ke-mk-refly-harun-salam-nol-persen/")</f>
        <v>https://www.dailynewsindonesia.com/news/daftarkan-gugatan-pt-ke-mk-refly-harun-salam-nol-persen/</v>
      </c>
      <c r="Y96" t="s">
        <v>715</v>
      </c>
      <c r="AC96" s="74" t="s">
        <v>790</v>
      </c>
      <c r="AD96" t="s">
        <v>794</v>
      </c>
      <c r="AE96" s="75" t="str">
        <f>HYPERLINK("https://twitter.com/dniupdate/status/1469025602086838274")</f>
        <v>https://twitter.com/dniupdate/status/1469025602086838274</v>
      </c>
      <c r="AF96" s="73">
        <v>44539.809849537036</v>
      </c>
      <c r="AG96" s="77">
        <v>44539</v>
      </c>
      <c r="AH96" s="74" t="s">
        <v>878</v>
      </c>
      <c r="AI96" t="b">
        <v>0</v>
      </c>
      <c r="AV96" s="75" t="str">
        <f>HYPERLINK("https://pbs.twimg.com/profile_images/1226116907230621696/IDrU5ecA_normal.jpg")</f>
        <v>https://pbs.twimg.com/profile_images/1226116907230621696/IDrU5ecA_normal.jpg</v>
      </c>
      <c r="AW96" s="74" t="s">
        <v>1099</v>
      </c>
      <c r="AX96" s="74" t="s">
        <v>1099</v>
      </c>
      <c r="AZ96" s="74" t="s">
        <v>1384</v>
      </c>
      <c r="BA96" s="74" t="s">
        <v>1384</v>
      </c>
      <c r="BB96" s="74" t="s">
        <v>1384</v>
      </c>
      <c r="BC96" s="74" t="s">
        <v>1099</v>
      </c>
      <c r="BD96" s="74" t="s">
        <v>1435</v>
      </c>
      <c r="BJ96" s="44">
        <v>3</v>
      </c>
      <c r="BK96" s="45">
        <v>30</v>
      </c>
      <c r="BL96" s="44">
        <v>1</v>
      </c>
      <c r="BM96" s="45">
        <v>10</v>
      </c>
      <c r="BN96" s="44">
        <v>0</v>
      </c>
      <c r="BO96" s="45">
        <v>0</v>
      </c>
      <c r="BP96" s="44">
        <v>6</v>
      </c>
      <c r="BQ96" s="45">
        <v>60</v>
      </c>
      <c r="BR96" s="44">
        <v>10</v>
      </c>
      <c r="BS96">
        <v>1</v>
      </c>
      <c r="BT96" s="112" t="str">
        <f>REPLACE(INDEX(GroupVertices[Group],MATCH("~"&amp;Edges[[#This Row],[Vertex 1]],GroupVertices[Vertex],0)),1,1,"")</f>
        <v>3</v>
      </c>
      <c r="BU96" s="112" t="str">
        <f>REPLACE(INDEX(GroupVertices[Group],MATCH("~"&amp;Edges[[#This Row],[Vertex 2]],GroupVertices[Vertex],0)),1,1,"")</f>
        <v>3</v>
      </c>
    </row>
    <row r="97" spans="1:73" ht="15">
      <c r="A97" s="59" t="s">
        <v>268</v>
      </c>
      <c r="B97" s="59" t="s">
        <v>383</v>
      </c>
      <c r="C97" s="60"/>
      <c r="D97" s="61"/>
      <c r="E97" s="62"/>
      <c r="F97" s="63"/>
      <c r="G97" s="60"/>
      <c r="H97" s="64"/>
      <c r="I97" s="65"/>
      <c r="J97" s="65"/>
      <c r="K97" s="30" t="s">
        <v>65</v>
      </c>
      <c r="L97" s="72">
        <v>97</v>
      </c>
      <c r="M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7" s="67"/>
      <c r="O97" t="s">
        <v>481</v>
      </c>
      <c r="P97" s="73">
        <v>44574.29282407407</v>
      </c>
      <c r="Q97" t="s">
        <v>565</v>
      </c>
      <c r="R97">
        <v>165</v>
      </c>
      <c r="S97">
        <v>779</v>
      </c>
      <c r="T97">
        <v>38</v>
      </c>
      <c r="U97">
        <v>12</v>
      </c>
      <c r="Z97" t="s">
        <v>383</v>
      </c>
      <c r="AC97" s="74" t="s">
        <v>789</v>
      </c>
      <c r="AD97" t="s">
        <v>794</v>
      </c>
      <c r="AE97" s="75" t="str">
        <f>HYPERLINK("https://twitter.com/ramlirizal/status/1481521814820253698")</f>
        <v>https://twitter.com/ramlirizal/status/1481521814820253698</v>
      </c>
      <c r="AF97" s="73">
        <v>44574.29282407407</v>
      </c>
      <c r="AG97" s="77">
        <v>44574</v>
      </c>
      <c r="AH97" s="74" t="s">
        <v>879</v>
      </c>
      <c r="AV97" s="75" t="str">
        <f>HYPERLINK("https://pbs.twimg.com/profile_images/566077214081290240/NQje2pzu_normal.jpeg")</f>
        <v>https://pbs.twimg.com/profile_images/566077214081290240/NQje2pzu_normal.jpeg</v>
      </c>
      <c r="AW97" s="74" t="s">
        <v>1100</v>
      </c>
      <c r="AX97" s="74" t="s">
        <v>1100</v>
      </c>
      <c r="AZ97" s="74" t="s">
        <v>1384</v>
      </c>
      <c r="BA97" s="74" t="s">
        <v>1384</v>
      </c>
      <c r="BB97" s="74" t="s">
        <v>1384</v>
      </c>
      <c r="BC97" s="74" t="s">
        <v>1100</v>
      </c>
      <c r="BD97">
        <v>452992293</v>
      </c>
      <c r="BJ97" s="44">
        <v>3</v>
      </c>
      <c r="BK97" s="45">
        <v>8.333333333333334</v>
      </c>
      <c r="BL97" s="44">
        <v>1</v>
      </c>
      <c r="BM97" s="45">
        <v>2.7777777777777777</v>
      </c>
      <c r="BN97" s="44">
        <v>0</v>
      </c>
      <c r="BO97" s="45">
        <v>0</v>
      </c>
      <c r="BP97" s="44">
        <v>32</v>
      </c>
      <c r="BQ97" s="45">
        <v>88.88888888888889</v>
      </c>
      <c r="BR97" s="44">
        <v>36</v>
      </c>
      <c r="BS97">
        <v>1</v>
      </c>
      <c r="BT97" s="112" t="str">
        <f>REPLACE(INDEX(GroupVertices[Group],MATCH("~"&amp;Edges[[#This Row],[Vertex 1]],GroupVertices[Vertex],0)),1,1,"")</f>
        <v>13</v>
      </c>
      <c r="BU97" s="112" t="str">
        <f>REPLACE(INDEX(GroupVertices[Group],MATCH("~"&amp;Edges[[#This Row],[Vertex 2]],GroupVertices[Vertex],0)),1,1,"")</f>
        <v>13</v>
      </c>
    </row>
    <row r="98" spans="1:73" ht="15">
      <c r="A98" s="59" t="s">
        <v>269</v>
      </c>
      <c r="B98" s="59" t="s">
        <v>384</v>
      </c>
      <c r="C98" s="60"/>
      <c r="D98" s="61"/>
      <c r="E98" s="62"/>
      <c r="F98" s="63"/>
      <c r="G98" s="60"/>
      <c r="H98" s="64"/>
      <c r="I98" s="65"/>
      <c r="J98" s="65"/>
      <c r="K98" s="30" t="s">
        <v>65</v>
      </c>
      <c r="L98" s="72">
        <v>98</v>
      </c>
      <c r="M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8" s="67"/>
      <c r="O98" t="s">
        <v>483</v>
      </c>
      <c r="P98" s="73">
        <v>44592.70863425926</v>
      </c>
      <c r="Q98" t="s">
        <v>566</v>
      </c>
      <c r="R98">
        <v>0</v>
      </c>
      <c r="S98">
        <v>2</v>
      </c>
      <c r="T98">
        <v>1</v>
      </c>
      <c r="U98">
        <v>0</v>
      </c>
      <c r="Z98" t="s">
        <v>739</v>
      </c>
      <c r="AC98" s="74" t="s">
        <v>787</v>
      </c>
      <c r="AD98" t="s">
        <v>794</v>
      </c>
      <c r="AE98" s="75" t="str">
        <f>HYPERLINK("https://twitter.com/mmargani5/status/1488195481318883333")</f>
        <v>https://twitter.com/mmargani5/status/1488195481318883333</v>
      </c>
      <c r="AF98" s="73">
        <v>44592.70863425926</v>
      </c>
      <c r="AG98" s="77">
        <v>44592</v>
      </c>
      <c r="AH98" s="74" t="s">
        <v>880</v>
      </c>
      <c r="AV98" s="75" t="str">
        <f>HYPERLINK("https://pbs.twimg.com/profile_images/1598949437656924160/LdPX9LJn_normal.jpg")</f>
        <v>https://pbs.twimg.com/profile_images/1598949437656924160/LdPX9LJn_normal.jpg</v>
      </c>
      <c r="AW98" s="74" t="s">
        <v>1101</v>
      </c>
      <c r="AX98" s="74" t="s">
        <v>1272</v>
      </c>
      <c r="AY98" s="74" t="s">
        <v>1350</v>
      </c>
      <c r="AZ98" s="74" t="s">
        <v>1272</v>
      </c>
      <c r="BA98" s="74" t="s">
        <v>1384</v>
      </c>
      <c r="BB98" s="74" t="s">
        <v>1384</v>
      </c>
      <c r="BC98" s="74" t="s">
        <v>1272</v>
      </c>
      <c r="BD98" s="74" t="s">
        <v>1436</v>
      </c>
      <c r="BJ98" s="44"/>
      <c r="BK98" s="45"/>
      <c r="BL98" s="44"/>
      <c r="BM98" s="45"/>
      <c r="BN98" s="44"/>
      <c r="BO98" s="45"/>
      <c r="BP98" s="44"/>
      <c r="BQ98" s="45"/>
      <c r="BR98" s="44"/>
      <c r="BS98">
        <v>1</v>
      </c>
      <c r="BT98" s="112" t="str">
        <f>REPLACE(INDEX(GroupVertices[Group],MATCH("~"&amp;Edges[[#This Row],[Vertex 1]],GroupVertices[Vertex],0)),1,1,"")</f>
        <v>10</v>
      </c>
      <c r="BU98" s="112" t="str">
        <f>REPLACE(INDEX(GroupVertices[Group],MATCH("~"&amp;Edges[[#This Row],[Vertex 2]],GroupVertices[Vertex],0)),1,1,"")</f>
        <v>10</v>
      </c>
    </row>
    <row r="99" spans="1:73" ht="15">
      <c r="A99" s="59" t="s">
        <v>269</v>
      </c>
      <c r="B99" s="59" t="s">
        <v>385</v>
      </c>
      <c r="C99" s="60"/>
      <c r="D99" s="61"/>
      <c r="E99" s="62"/>
      <c r="F99" s="63"/>
      <c r="G99" s="60"/>
      <c r="H99" s="64"/>
      <c r="I99" s="65"/>
      <c r="J99" s="65"/>
      <c r="K99" s="30" t="s">
        <v>65</v>
      </c>
      <c r="L99" s="72">
        <v>99</v>
      </c>
      <c r="M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9" s="67"/>
      <c r="O99" t="s">
        <v>483</v>
      </c>
      <c r="P99" s="73">
        <v>44592.70863425926</v>
      </c>
      <c r="Q99" t="s">
        <v>566</v>
      </c>
      <c r="R99">
        <v>0</v>
      </c>
      <c r="S99">
        <v>2</v>
      </c>
      <c r="T99">
        <v>1</v>
      </c>
      <c r="U99">
        <v>0</v>
      </c>
      <c r="Z99" t="s">
        <v>739</v>
      </c>
      <c r="AC99" s="74" t="s">
        <v>787</v>
      </c>
      <c r="AD99" t="s">
        <v>794</v>
      </c>
      <c r="AE99" s="75" t="str">
        <f>HYPERLINK("https://twitter.com/mmargani5/status/1488195481318883333")</f>
        <v>https://twitter.com/mmargani5/status/1488195481318883333</v>
      </c>
      <c r="AF99" s="73">
        <v>44592.70863425926</v>
      </c>
      <c r="AG99" s="77">
        <v>44592</v>
      </c>
      <c r="AH99" s="74" t="s">
        <v>880</v>
      </c>
      <c r="AV99" s="75" t="str">
        <f>HYPERLINK("https://pbs.twimg.com/profile_images/1598949437656924160/LdPX9LJn_normal.jpg")</f>
        <v>https://pbs.twimg.com/profile_images/1598949437656924160/LdPX9LJn_normal.jpg</v>
      </c>
      <c r="AW99" s="74" t="s">
        <v>1101</v>
      </c>
      <c r="AX99" s="74" t="s">
        <v>1272</v>
      </c>
      <c r="AY99" s="74" t="s">
        <v>1350</v>
      </c>
      <c r="AZ99" s="74" t="s">
        <v>1272</v>
      </c>
      <c r="BA99" s="74" t="s">
        <v>1384</v>
      </c>
      <c r="BB99" s="74" t="s">
        <v>1384</v>
      </c>
      <c r="BC99" s="74" t="s">
        <v>1272</v>
      </c>
      <c r="BD99" s="74" t="s">
        <v>1436</v>
      </c>
      <c r="BJ99" s="44"/>
      <c r="BK99" s="45"/>
      <c r="BL99" s="44"/>
      <c r="BM99" s="45"/>
      <c r="BN99" s="44"/>
      <c r="BO99" s="45"/>
      <c r="BP99" s="44"/>
      <c r="BQ99" s="45"/>
      <c r="BR99" s="44"/>
      <c r="BS99">
        <v>1</v>
      </c>
      <c r="BT99" s="112" t="str">
        <f>REPLACE(INDEX(GroupVertices[Group],MATCH("~"&amp;Edges[[#This Row],[Vertex 1]],GroupVertices[Vertex],0)),1,1,"")</f>
        <v>10</v>
      </c>
      <c r="BU99" s="112" t="str">
        <f>REPLACE(INDEX(GroupVertices[Group],MATCH("~"&amp;Edges[[#This Row],[Vertex 2]],GroupVertices[Vertex],0)),1,1,"")</f>
        <v>10</v>
      </c>
    </row>
    <row r="100" spans="1:73" ht="15">
      <c r="A100" s="59" t="s">
        <v>269</v>
      </c>
      <c r="B100" s="59" t="s">
        <v>386</v>
      </c>
      <c r="C100" s="60"/>
      <c r="D100" s="61"/>
      <c r="E100" s="62"/>
      <c r="F100" s="63"/>
      <c r="G100" s="60"/>
      <c r="H100" s="64"/>
      <c r="I100" s="65"/>
      <c r="J100" s="65"/>
      <c r="K100" s="30" t="s">
        <v>65</v>
      </c>
      <c r="L100" s="72">
        <v>100</v>
      </c>
      <c r="M1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0" s="67"/>
      <c r="O100" t="s">
        <v>482</v>
      </c>
      <c r="P100" s="73">
        <v>44735.603530092594</v>
      </c>
      <c r="Q100" t="s">
        <v>567</v>
      </c>
      <c r="R100">
        <v>0</v>
      </c>
      <c r="S100">
        <v>0</v>
      </c>
      <c r="T100">
        <v>0</v>
      </c>
      <c r="U100">
        <v>0</v>
      </c>
      <c r="Z100" t="s">
        <v>386</v>
      </c>
      <c r="AC100" s="74" t="s">
        <v>787</v>
      </c>
      <c r="AD100" t="s">
        <v>794</v>
      </c>
      <c r="AE100" s="75" t="str">
        <f>HYPERLINK("https://twitter.com/mmargani5/status/1539978856206979072")</f>
        <v>https://twitter.com/mmargani5/status/1539978856206979072</v>
      </c>
      <c r="AF100" s="73">
        <v>44735.603530092594</v>
      </c>
      <c r="AG100" s="77">
        <v>44735</v>
      </c>
      <c r="AH100" s="74" t="s">
        <v>881</v>
      </c>
      <c r="AV100" s="75" t="str">
        <f>HYPERLINK("https://pbs.twimg.com/profile_images/1598949437656924160/LdPX9LJn_normal.jpg")</f>
        <v>https://pbs.twimg.com/profile_images/1598949437656924160/LdPX9LJn_normal.jpg</v>
      </c>
      <c r="AW100" s="74" t="s">
        <v>1102</v>
      </c>
      <c r="AX100" s="74" t="s">
        <v>1273</v>
      </c>
      <c r="AY100" s="74" t="s">
        <v>1351</v>
      </c>
      <c r="AZ100" s="74" t="s">
        <v>1273</v>
      </c>
      <c r="BA100" s="74" t="s">
        <v>1384</v>
      </c>
      <c r="BB100" s="74" t="s">
        <v>1384</v>
      </c>
      <c r="BC100" s="74" t="s">
        <v>1273</v>
      </c>
      <c r="BD100" s="74" t="s">
        <v>1436</v>
      </c>
      <c r="BJ100" s="44">
        <v>3</v>
      </c>
      <c r="BK100" s="45">
        <v>9.375</v>
      </c>
      <c r="BL100" s="44">
        <v>1</v>
      </c>
      <c r="BM100" s="45">
        <v>3.125</v>
      </c>
      <c r="BN100" s="44">
        <v>0</v>
      </c>
      <c r="BO100" s="45">
        <v>0</v>
      </c>
      <c r="BP100" s="44">
        <v>28</v>
      </c>
      <c r="BQ100" s="45">
        <v>87.5</v>
      </c>
      <c r="BR100" s="44">
        <v>32</v>
      </c>
      <c r="BS100">
        <v>1</v>
      </c>
      <c r="BT100" s="112" t="str">
        <f>REPLACE(INDEX(GroupVertices[Group],MATCH("~"&amp;Edges[[#This Row],[Vertex 1]],GroupVertices[Vertex],0)),1,1,"")</f>
        <v>10</v>
      </c>
      <c r="BU100" s="112" t="str">
        <f>REPLACE(INDEX(GroupVertices[Group],MATCH("~"&amp;Edges[[#This Row],[Vertex 2]],GroupVertices[Vertex],0)),1,1,"")</f>
        <v>10</v>
      </c>
    </row>
    <row r="101" spans="1:73" ht="15">
      <c r="A101" s="59" t="s">
        <v>269</v>
      </c>
      <c r="B101" s="59" t="s">
        <v>387</v>
      </c>
      <c r="C101" s="60"/>
      <c r="D101" s="61"/>
      <c r="E101" s="62"/>
      <c r="F101" s="63"/>
      <c r="G101" s="60"/>
      <c r="H101" s="64"/>
      <c r="I101" s="65"/>
      <c r="J101" s="65"/>
      <c r="K101" s="30" t="s">
        <v>65</v>
      </c>
      <c r="L101" s="72">
        <v>101</v>
      </c>
      <c r="M1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1" s="67"/>
      <c r="O101" t="s">
        <v>483</v>
      </c>
      <c r="P101" s="73">
        <v>44578.208865740744</v>
      </c>
      <c r="Q101" t="s">
        <v>568</v>
      </c>
      <c r="R101">
        <v>0</v>
      </c>
      <c r="S101">
        <v>0</v>
      </c>
      <c r="T101">
        <v>1</v>
      </c>
      <c r="U101">
        <v>0</v>
      </c>
      <c r="Z101" t="s">
        <v>740</v>
      </c>
      <c r="AC101" s="74" t="s">
        <v>787</v>
      </c>
      <c r="AD101" t="s">
        <v>794</v>
      </c>
      <c r="AE101" s="75" t="str">
        <f>HYPERLINK("https://twitter.com/mmargani5/status/1482940939786387458")</f>
        <v>https://twitter.com/mmargani5/status/1482940939786387458</v>
      </c>
      <c r="AF101" s="73">
        <v>44578.208865740744</v>
      </c>
      <c r="AG101" s="77">
        <v>44578</v>
      </c>
      <c r="AH101" s="74" t="s">
        <v>882</v>
      </c>
      <c r="AV101" s="75" t="str">
        <f>HYPERLINK("https://pbs.twimg.com/profile_images/1598949437656924160/LdPX9LJn_normal.jpg")</f>
        <v>https://pbs.twimg.com/profile_images/1598949437656924160/LdPX9LJn_normal.jpg</v>
      </c>
      <c r="AW101" s="74" t="s">
        <v>1103</v>
      </c>
      <c r="AX101" s="74" t="s">
        <v>1274</v>
      </c>
      <c r="AY101" s="74" t="s">
        <v>1352</v>
      </c>
      <c r="AZ101" s="74" t="s">
        <v>1274</v>
      </c>
      <c r="BA101" s="74" t="s">
        <v>1384</v>
      </c>
      <c r="BB101" s="74" t="s">
        <v>1384</v>
      </c>
      <c r="BC101" s="74" t="s">
        <v>1274</v>
      </c>
      <c r="BD101" s="74" t="s">
        <v>1436</v>
      </c>
      <c r="BJ101" s="44">
        <v>3</v>
      </c>
      <c r="BK101" s="45">
        <v>50</v>
      </c>
      <c r="BL101" s="44">
        <v>0</v>
      </c>
      <c r="BM101" s="45">
        <v>0</v>
      </c>
      <c r="BN101" s="44">
        <v>0</v>
      </c>
      <c r="BO101" s="45">
        <v>0</v>
      </c>
      <c r="BP101" s="44">
        <v>3</v>
      </c>
      <c r="BQ101" s="45">
        <v>50</v>
      </c>
      <c r="BR101" s="44">
        <v>6</v>
      </c>
      <c r="BS101">
        <v>1</v>
      </c>
      <c r="BT101" s="112" t="str">
        <f>REPLACE(INDEX(GroupVertices[Group],MATCH("~"&amp;Edges[[#This Row],[Vertex 1]],GroupVertices[Vertex],0)),1,1,"")</f>
        <v>10</v>
      </c>
      <c r="BU101" s="112" t="str">
        <f>REPLACE(INDEX(GroupVertices[Group],MATCH("~"&amp;Edges[[#This Row],[Vertex 2]],GroupVertices[Vertex],0)),1,1,"")</f>
        <v>10</v>
      </c>
    </row>
    <row r="102" spans="1:73" ht="15">
      <c r="A102" s="59" t="s">
        <v>269</v>
      </c>
      <c r="B102" s="59" t="s">
        <v>268</v>
      </c>
      <c r="C102" s="60"/>
      <c r="D102" s="61"/>
      <c r="E102" s="62"/>
      <c r="F102" s="63"/>
      <c r="G102" s="60"/>
      <c r="H102" s="64"/>
      <c r="I102" s="65"/>
      <c r="J102" s="65"/>
      <c r="K102" s="30" t="s">
        <v>65</v>
      </c>
      <c r="L102" s="72">
        <v>102</v>
      </c>
      <c r="M1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2" s="67"/>
      <c r="O102" t="s">
        <v>482</v>
      </c>
      <c r="P102" s="73">
        <v>44578.208865740744</v>
      </c>
      <c r="Q102" t="s">
        <v>568</v>
      </c>
      <c r="R102">
        <v>0</v>
      </c>
      <c r="S102">
        <v>0</v>
      </c>
      <c r="T102">
        <v>1</v>
      </c>
      <c r="U102">
        <v>0</v>
      </c>
      <c r="Z102" t="s">
        <v>740</v>
      </c>
      <c r="AC102" s="74" t="s">
        <v>787</v>
      </c>
      <c r="AD102" t="s">
        <v>794</v>
      </c>
      <c r="AE102" s="75" t="str">
        <f>HYPERLINK("https://twitter.com/mmargani5/status/1482940939786387458")</f>
        <v>https://twitter.com/mmargani5/status/1482940939786387458</v>
      </c>
      <c r="AF102" s="73">
        <v>44578.208865740744</v>
      </c>
      <c r="AG102" s="77">
        <v>44578</v>
      </c>
      <c r="AH102" s="74" t="s">
        <v>882</v>
      </c>
      <c r="AV102" s="75" t="str">
        <f>HYPERLINK("https://pbs.twimg.com/profile_images/1598949437656924160/LdPX9LJn_normal.jpg")</f>
        <v>https://pbs.twimg.com/profile_images/1598949437656924160/LdPX9LJn_normal.jpg</v>
      </c>
      <c r="AW102" s="74" t="s">
        <v>1103</v>
      </c>
      <c r="AX102" s="74" t="s">
        <v>1274</v>
      </c>
      <c r="AY102" s="74" t="s">
        <v>1352</v>
      </c>
      <c r="AZ102" s="74" t="s">
        <v>1274</v>
      </c>
      <c r="BA102" s="74" t="s">
        <v>1384</v>
      </c>
      <c r="BB102" s="74" t="s">
        <v>1384</v>
      </c>
      <c r="BC102" s="74" t="s">
        <v>1274</v>
      </c>
      <c r="BD102" s="74" t="s">
        <v>1436</v>
      </c>
      <c r="BJ102" s="44"/>
      <c r="BK102" s="45"/>
      <c r="BL102" s="44"/>
      <c r="BM102" s="45"/>
      <c r="BN102" s="44"/>
      <c r="BO102" s="45"/>
      <c r="BP102" s="44"/>
      <c r="BQ102" s="45"/>
      <c r="BR102" s="44"/>
      <c r="BS102">
        <v>8</v>
      </c>
      <c r="BT102" s="112" t="str">
        <f>REPLACE(INDEX(GroupVertices[Group],MATCH("~"&amp;Edges[[#This Row],[Vertex 1]],GroupVertices[Vertex],0)),1,1,"")</f>
        <v>10</v>
      </c>
      <c r="BU102" s="112" t="str">
        <f>REPLACE(INDEX(GroupVertices[Group],MATCH("~"&amp;Edges[[#This Row],[Vertex 2]],GroupVertices[Vertex],0)),1,1,"")</f>
        <v>13</v>
      </c>
    </row>
    <row r="103" spans="1:73" ht="15">
      <c r="A103" s="59" t="s">
        <v>269</v>
      </c>
      <c r="B103" s="59" t="s">
        <v>341</v>
      </c>
      <c r="C103" s="60"/>
      <c r="D103" s="61"/>
      <c r="E103" s="62"/>
      <c r="F103" s="63"/>
      <c r="G103" s="60"/>
      <c r="H103" s="64"/>
      <c r="I103" s="65"/>
      <c r="J103" s="65"/>
      <c r="K103" s="30" t="s">
        <v>65</v>
      </c>
      <c r="L103" s="72">
        <v>103</v>
      </c>
      <c r="M1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3" s="67"/>
      <c r="O103" t="s">
        <v>483</v>
      </c>
      <c r="P103" s="73">
        <v>44592.70863425926</v>
      </c>
      <c r="Q103" t="s">
        <v>566</v>
      </c>
      <c r="R103">
        <v>0</v>
      </c>
      <c r="S103">
        <v>2</v>
      </c>
      <c r="T103">
        <v>1</v>
      </c>
      <c r="U103">
        <v>0</v>
      </c>
      <c r="Z103" t="s">
        <v>739</v>
      </c>
      <c r="AC103" s="74" t="s">
        <v>787</v>
      </c>
      <c r="AD103" t="s">
        <v>794</v>
      </c>
      <c r="AE103" s="75" t="str">
        <f>HYPERLINK("https://twitter.com/mmargani5/status/1488195481318883333")</f>
        <v>https://twitter.com/mmargani5/status/1488195481318883333</v>
      </c>
      <c r="AF103" s="73">
        <v>44592.70863425926</v>
      </c>
      <c r="AG103" s="77">
        <v>44592</v>
      </c>
      <c r="AH103" s="74" t="s">
        <v>880</v>
      </c>
      <c r="AV103" s="75" t="str">
        <f>HYPERLINK("https://pbs.twimg.com/profile_images/1598949437656924160/LdPX9LJn_normal.jpg")</f>
        <v>https://pbs.twimg.com/profile_images/1598949437656924160/LdPX9LJn_normal.jpg</v>
      </c>
      <c r="AW103" s="74" t="s">
        <v>1101</v>
      </c>
      <c r="AX103" s="74" t="s">
        <v>1272</v>
      </c>
      <c r="AY103" s="74" t="s">
        <v>1350</v>
      </c>
      <c r="AZ103" s="74" t="s">
        <v>1272</v>
      </c>
      <c r="BA103" s="74" t="s">
        <v>1384</v>
      </c>
      <c r="BB103" s="74" t="s">
        <v>1384</v>
      </c>
      <c r="BC103" s="74" t="s">
        <v>1272</v>
      </c>
      <c r="BD103" s="74" t="s">
        <v>1436</v>
      </c>
      <c r="BJ103" s="44"/>
      <c r="BK103" s="45"/>
      <c r="BL103" s="44"/>
      <c r="BM103" s="45"/>
      <c r="BN103" s="44"/>
      <c r="BO103" s="45"/>
      <c r="BP103" s="44"/>
      <c r="BQ103" s="45"/>
      <c r="BR103" s="44"/>
      <c r="BS103">
        <v>1</v>
      </c>
      <c r="BT103" s="112" t="str">
        <f>REPLACE(INDEX(GroupVertices[Group],MATCH("~"&amp;Edges[[#This Row],[Vertex 1]],GroupVertices[Vertex],0)),1,1,"")</f>
        <v>10</v>
      </c>
      <c r="BU103" s="112" t="str">
        <f>REPLACE(INDEX(GroupVertices[Group],MATCH("~"&amp;Edges[[#This Row],[Vertex 2]],GroupVertices[Vertex],0)),1,1,"")</f>
        <v>6</v>
      </c>
    </row>
    <row r="104" spans="1:73" ht="15">
      <c r="A104" s="59" t="s">
        <v>269</v>
      </c>
      <c r="B104" s="59" t="s">
        <v>388</v>
      </c>
      <c r="C104" s="60"/>
      <c r="D104" s="61"/>
      <c r="E104" s="62"/>
      <c r="F104" s="63"/>
      <c r="G104" s="60"/>
      <c r="H104" s="64"/>
      <c r="I104" s="65"/>
      <c r="J104" s="65"/>
      <c r="K104" s="30" t="s">
        <v>65</v>
      </c>
      <c r="L104" s="72">
        <v>104</v>
      </c>
      <c r="M1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4" s="67"/>
      <c r="O104" t="s">
        <v>483</v>
      </c>
      <c r="P104" s="73">
        <v>44592.70863425926</v>
      </c>
      <c r="Q104" t="s">
        <v>566</v>
      </c>
      <c r="R104">
        <v>0</v>
      </c>
      <c r="S104">
        <v>2</v>
      </c>
      <c r="T104">
        <v>1</v>
      </c>
      <c r="U104">
        <v>0</v>
      </c>
      <c r="Z104" t="s">
        <v>739</v>
      </c>
      <c r="AC104" s="74" t="s">
        <v>787</v>
      </c>
      <c r="AD104" t="s">
        <v>794</v>
      </c>
      <c r="AE104" s="75" t="str">
        <f>HYPERLINK("https://twitter.com/mmargani5/status/1488195481318883333")</f>
        <v>https://twitter.com/mmargani5/status/1488195481318883333</v>
      </c>
      <c r="AF104" s="73">
        <v>44592.70863425926</v>
      </c>
      <c r="AG104" s="77">
        <v>44592</v>
      </c>
      <c r="AH104" s="74" t="s">
        <v>880</v>
      </c>
      <c r="AV104" s="75" t="str">
        <f>HYPERLINK("https://pbs.twimg.com/profile_images/1598949437656924160/LdPX9LJn_normal.jpg")</f>
        <v>https://pbs.twimg.com/profile_images/1598949437656924160/LdPX9LJn_normal.jpg</v>
      </c>
      <c r="AW104" s="74" t="s">
        <v>1101</v>
      </c>
      <c r="AX104" s="74" t="s">
        <v>1272</v>
      </c>
      <c r="AY104" s="74" t="s">
        <v>1350</v>
      </c>
      <c r="AZ104" s="74" t="s">
        <v>1272</v>
      </c>
      <c r="BA104" s="74" t="s">
        <v>1384</v>
      </c>
      <c r="BB104" s="74" t="s">
        <v>1384</v>
      </c>
      <c r="BC104" s="74" t="s">
        <v>1272</v>
      </c>
      <c r="BD104" s="74" t="s">
        <v>1436</v>
      </c>
      <c r="BJ104" s="44"/>
      <c r="BK104" s="45"/>
      <c r="BL104" s="44"/>
      <c r="BM104" s="45"/>
      <c r="BN104" s="44"/>
      <c r="BO104" s="45"/>
      <c r="BP104" s="44"/>
      <c r="BQ104" s="45"/>
      <c r="BR104" s="44"/>
      <c r="BS104">
        <v>1</v>
      </c>
      <c r="BT104" s="112" t="str">
        <f>REPLACE(INDEX(GroupVertices[Group],MATCH("~"&amp;Edges[[#This Row],[Vertex 1]],GroupVertices[Vertex],0)),1,1,"")</f>
        <v>10</v>
      </c>
      <c r="BU104" s="112" t="str">
        <f>REPLACE(INDEX(GroupVertices[Group],MATCH("~"&amp;Edges[[#This Row],[Vertex 2]],GroupVertices[Vertex],0)),1,1,"")</f>
        <v>10</v>
      </c>
    </row>
    <row r="105" spans="1:73" ht="15">
      <c r="A105" s="59" t="s">
        <v>269</v>
      </c>
      <c r="B105" s="59" t="s">
        <v>270</v>
      </c>
      <c r="C105" s="60"/>
      <c r="D105" s="61"/>
      <c r="E105" s="62"/>
      <c r="F105" s="63"/>
      <c r="G105" s="60"/>
      <c r="H105" s="64"/>
      <c r="I105" s="65"/>
      <c r="J105" s="65"/>
      <c r="K105" s="30" t="s">
        <v>65</v>
      </c>
      <c r="L105" s="72">
        <v>105</v>
      </c>
      <c r="M1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5" s="67"/>
      <c r="O105" t="s">
        <v>483</v>
      </c>
      <c r="P105" s="73">
        <v>44592.70863425926</v>
      </c>
      <c r="Q105" t="s">
        <v>566</v>
      </c>
      <c r="R105">
        <v>0</v>
      </c>
      <c r="S105">
        <v>2</v>
      </c>
      <c r="T105">
        <v>1</v>
      </c>
      <c r="U105">
        <v>0</v>
      </c>
      <c r="Z105" t="s">
        <v>739</v>
      </c>
      <c r="AC105" s="74" t="s">
        <v>787</v>
      </c>
      <c r="AD105" t="s">
        <v>794</v>
      </c>
      <c r="AE105" s="75" t="str">
        <f>HYPERLINK("https://twitter.com/mmargani5/status/1488195481318883333")</f>
        <v>https://twitter.com/mmargani5/status/1488195481318883333</v>
      </c>
      <c r="AF105" s="73">
        <v>44592.70863425926</v>
      </c>
      <c r="AG105" s="77">
        <v>44592</v>
      </c>
      <c r="AH105" s="74" t="s">
        <v>880</v>
      </c>
      <c r="AV105" s="75" t="str">
        <f>HYPERLINK("https://pbs.twimg.com/profile_images/1598949437656924160/LdPX9LJn_normal.jpg")</f>
        <v>https://pbs.twimg.com/profile_images/1598949437656924160/LdPX9LJn_normal.jpg</v>
      </c>
      <c r="AW105" s="74" t="s">
        <v>1101</v>
      </c>
      <c r="AX105" s="74" t="s">
        <v>1272</v>
      </c>
      <c r="AY105" s="74" t="s">
        <v>1350</v>
      </c>
      <c r="AZ105" s="74" t="s">
        <v>1272</v>
      </c>
      <c r="BA105" s="74" t="s">
        <v>1384</v>
      </c>
      <c r="BB105" s="74" t="s">
        <v>1384</v>
      </c>
      <c r="BC105" s="74" t="s">
        <v>1272</v>
      </c>
      <c r="BD105" s="74" t="s">
        <v>1436</v>
      </c>
      <c r="BJ105" s="44"/>
      <c r="BK105" s="45"/>
      <c r="BL105" s="44"/>
      <c r="BM105" s="45"/>
      <c r="BN105" s="44"/>
      <c r="BO105" s="45"/>
      <c r="BP105" s="44"/>
      <c r="BQ105" s="45"/>
      <c r="BR105" s="44"/>
      <c r="BS105">
        <v>1</v>
      </c>
      <c r="BT105" s="112" t="str">
        <f>REPLACE(INDEX(GroupVertices[Group],MATCH("~"&amp;Edges[[#This Row],[Vertex 1]],GroupVertices[Vertex],0)),1,1,"")</f>
        <v>10</v>
      </c>
      <c r="BU105" s="112" t="str">
        <f>REPLACE(INDEX(GroupVertices[Group],MATCH("~"&amp;Edges[[#This Row],[Vertex 2]],GroupVertices[Vertex],0)),1,1,"")</f>
        <v>10</v>
      </c>
    </row>
    <row r="106" spans="1:73" ht="15">
      <c r="A106" s="59" t="s">
        <v>269</v>
      </c>
      <c r="B106" s="59" t="s">
        <v>389</v>
      </c>
      <c r="C106" s="60"/>
      <c r="D106" s="61"/>
      <c r="E106" s="62"/>
      <c r="F106" s="63"/>
      <c r="G106" s="60"/>
      <c r="H106" s="64"/>
      <c r="I106" s="65"/>
      <c r="J106" s="65"/>
      <c r="K106" s="30" t="s">
        <v>65</v>
      </c>
      <c r="L106" s="72">
        <v>106</v>
      </c>
      <c r="M1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6" s="67"/>
      <c r="O106" t="s">
        <v>483</v>
      </c>
      <c r="P106" s="73">
        <v>44592.70863425926</v>
      </c>
      <c r="Q106" t="s">
        <v>566</v>
      </c>
      <c r="R106">
        <v>0</v>
      </c>
      <c r="S106">
        <v>2</v>
      </c>
      <c r="T106">
        <v>1</v>
      </c>
      <c r="U106">
        <v>0</v>
      </c>
      <c r="Z106" t="s">
        <v>739</v>
      </c>
      <c r="AC106" s="74" t="s">
        <v>787</v>
      </c>
      <c r="AD106" t="s">
        <v>794</v>
      </c>
      <c r="AE106" s="75" t="str">
        <f>HYPERLINK("https://twitter.com/mmargani5/status/1488195481318883333")</f>
        <v>https://twitter.com/mmargani5/status/1488195481318883333</v>
      </c>
      <c r="AF106" s="73">
        <v>44592.70863425926</v>
      </c>
      <c r="AG106" s="77">
        <v>44592</v>
      </c>
      <c r="AH106" s="74" t="s">
        <v>880</v>
      </c>
      <c r="AV106" s="75" t="str">
        <f>HYPERLINK("https://pbs.twimg.com/profile_images/1598949437656924160/LdPX9LJn_normal.jpg")</f>
        <v>https://pbs.twimg.com/profile_images/1598949437656924160/LdPX9LJn_normal.jpg</v>
      </c>
      <c r="AW106" s="74" t="s">
        <v>1101</v>
      </c>
      <c r="AX106" s="74" t="s">
        <v>1272</v>
      </c>
      <c r="AY106" s="74" t="s">
        <v>1350</v>
      </c>
      <c r="AZ106" s="74" t="s">
        <v>1272</v>
      </c>
      <c r="BA106" s="74" t="s">
        <v>1384</v>
      </c>
      <c r="BB106" s="74" t="s">
        <v>1384</v>
      </c>
      <c r="BC106" s="74" t="s">
        <v>1272</v>
      </c>
      <c r="BD106" s="74" t="s">
        <v>1436</v>
      </c>
      <c r="BJ106" s="44"/>
      <c r="BK106" s="45"/>
      <c r="BL106" s="44"/>
      <c r="BM106" s="45"/>
      <c r="BN106" s="44"/>
      <c r="BO106" s="45"/>
      <c r="BP106" s="44"/>
      <c r="BQ106" s="45"/>
      <c r="BR106" s="44"/>
      <c r="BS106">
        <v>1</v>
      </c>
      <c r="BT106" s="112" t="str">
        <f>REPLACE(INDEX(GroupVertices[Group],MATCH("~"&amp;Edges[[#This Row],[Vertex 1]],GroupVertices[Vertex],0)),1,1,"")</f>
        <v>10</v>
      </c>
      <c r="BU106" s="112" t="str">
        <f>REPLACE(INDEX(GroupVertices[Group],MATCH("~"&amp;Edges[[#This Row],[Vertex 2]],GroupVertices[Vertex],0)),1,1,"")</f>
        <v>10</v>
      </c>
    </row>
    <row r="107" spans="1:73" ht="15">
      <c r="A107" s="59" t="s">
        <v>269</v>
      </c>
      <c r="B107" s="59" t="s">
        <v>336</v>
      </c>
      <c r="C107" s="60"/>
      <c r="D107" s="61"/>
      <c r="E107" s="62"/>
      <c r="F107" s="63"/>
      <c r="G107" s="60"/>
      <c r="H107" s="64"/>
      <c r="I107" s="65"/>
      <c r="J107" s="65"/>
      <c r="K107" s="30" t="s">
        <v>65</v>
      </c>
      <c r="L107" s="72">
        <v>107</v>
      </c>
      <c r="M1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7" s="67"/>
      <c r="O107" t="s">
        <v>482</v>
      </c>
      <c r="P107" s="73">
        <v>44592.70863425926</v>
      </c>
      <c r="Q107" t="s">
        <v>566</v>
      </c>
      <c r="R107">
        <v>0</v>
      </c>
      <c r="S107">
        <v>2</v>
      </c>
      <c r="T107">
        <v>1</v>
      </c>
      <c r="U107">
        <v>0</v>
      </c>
      <c r="Z107" t="s">
        <v>739</v>
      </c>
      <c r="AC107" s="74" t="s">
        <v>787</v>
      </c>
      <c r="AD107" t="s">
        <v>794</v>
      </c>
      <c r="AE107" s="75" t="str">
        <f>HYPERLINK("https://twitter.com/mmargani5/status/1488195481318883333")</f>
        <v>https://twitter.com/mmargani5/status/1488195481318883333</v>
      </c>
      <c r="AF107" s="73">
        <v>44592.70863425926</v>
      </c>
      <c r="AG107" s="77">
        <v>44592</v>
      </c>
      <c r="AH107" s="74" t="s">
        <v>880</v>
      </c>
      <c r="AV107" s="75" t="str">
        <f>HYPERLINK("https://pbs.twimg.com/profile_images/1598949437656924160/LdPX9LJn_normal.jpg")</f>
        <v>https://pbs.twimg.com/profile_images/1598949437656924160/LdPX9LJn_normal.jpg</v>
      </c>
      <c r="AW107" s="74" t="s">
        <v>1101</v>
      </c>
      <c r="AX107" s="74" t="s">
        <v>1272</v>
      </c>
      <c r="AY107" s="74" t="s">
        <v>1350</v>
      </c>
      <c r="AZ107" s="74" t="s">
        <v>1272</v>
      </c>
      <c r="BA107" s="74" t="s">
        <v>1384</v>
      </c>
      <c r="BB107" s="74" t="s">
        <v>1384</v>
      </c>
      <c r="BC107" s="74" t="s">
        <v>1272</v>
      </c>
      <c r="BD107" s="74" t="s">
        <v>1436</v>
      </c>
      <c r="BJ107" s="44">
        <v>6</v>
      </c>
      <c r="BK107" s="45">
        <v>22.22222222222222</v>
      </c>
      <c r="BL107" s="44">
        <v>0</v>
      </c>
      <c r="BM107" s="45">
        <v>0</v>
      </c>
      <c r="BN107" s="44">
        <v>0</v>
      </c>
      <c r="BO107" s="45">
        <v>0</v>
      </c>
      <c r="BP107" s="44">
        <v>21</v>
      </c>
      <c r="BQ107" s="45">
        <v>77.77777777777777</v>
      </c>
      <c r="BR107" s="44">
        <v>27</v>
      </c>
      <c r="BS107">
        <v>1</v>
      </c>
      <c r="BT107" s="112" t="str">
        <f>REPLACE(INDEX(GroupVertices[Group],MATCH("~"&amp;Edges[[#This Row],[Vertex 1]],GroupVertices[Vertex],0)),1,1,"")</f>
        <v>10</v>
      </c>
      <c r="BU107" s="112" t="str">
        <f>REPLACE(INDEX(GroupVertices[Group],MATCH("~"&amp;Edges[[#This Row],[Vertex 2]],GroupVertices[Vertex],0)),1,1,"")</f>
        <v>10</v>
      </c>
    </row>
    <row r="108" spans="1:73" ht="15">
      <c r="A108" s="59" t="s">
        <v>270</v>
      </c>
      <c r="B108" s="59" t="s">
        <v>388</v>
      </c>
      <c r="C108" s="60"/>
      <c r="D108" s="61"/>
      <c r="E108" s="62"/>
      <c r="F108" s="63"/>
      <c r="G108" s="60"/>
      <c r="H108" s="64"/>
      <c r="I108" s="65"/>
      <c r="J108" s="65"/>
      <c r="K108" s="30" t="s">
        <v>65</v>
      </c>
      <c r="L108" s="72">
        <v>108</v>
      </c>
      <c r="M1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8" s="67"/>
      <c r="O108" t="s">
        <v>485</v>
      </c>
      <c r="P108" s="73">
        <v>44578.99228009259</v>
      </c>
      <c r="Q108" t="s">
        <v>569</v>
      </c>
      <c r="R108">
        <v>431</v>
      </c>
      <c r="S108">
        <v>1632</v>
      </c>
      <c r="T108">
        <v>184</v>
      </c>
      <c r="U108">
        <v>41</v>
      </c>
      <c r="Z108" t="s">
        <v>388</v>
      </c>
      <c r="AC108" s="74" t="s">
        <v>789</v>
      </c>
      <c r="AD108" t="s">
        <v>794</v>
      </c>
      <c r="AE108" s="75" t="str">
        <f>HYPERLINK("https://twitter.com/hnurwahid/status/1483224841969090560")</f>
        <v>https://twitter.com/hnurwahid/status/1483224841969090560</v>
      </c>
      <c r="AF108" s="73">
        <v>44578.99228009259</v>
      </c>
      <c r="AG108" s="77">
        <v>44578</v>
      </c>
      <c r="AH108" s="74" t="s">
        <v>883</v>
      </c>
      <c r="AV108" s="75" t="str">
        <f>HYPERLINK("https://pbs.twimg.com/profile_images/1463084916883685379/pYWu2w0H_normal.jpg")</f>
        <v>https://pbs.twimg.com/profile_images/1463084916883685379/pYWu2w0H_normal.jpg</v>
      </c>
      <c r="AW108" s="74" t="s">
        <v>1104</v>
      </c>
      <c r="AX108" s="74" t="s">
        <v>1104</v>
      </c>
      <c r="AZ108" s="74" t="s">
        <v>1384</v>
      </c>
      <c r="BA108" s="74" t="s">
        <v>1400</v>
      </c>
      <c r="BB108" s="74" t="s">
        <v>1384</v>
      </c>
      <c r="BC108" s="74" t="s">
        <v>1400</v>
      </c>
      <c r="BD108">
        <v>86012022</v>
      </c>
      <c r="BJ108" s="44">
        <v>0</v>
      </c>
      <c r="BK108" s="45">
        <v>0</v>
      </c>
      <c r="BL108" s="44">
        <v>1</v>
      </c>
      <c r="BM108" s="45">
        <v>3.7037037037037037</v>
      </c>
      <c r="BN108" s="44">
        <v>0</v>
      </c>
      <c r="BO108" s="45">
        <v>0</v>
      </c>
      <c r="BP108" s="44">
        <v>26</v>
      </c>
      <c r="BQ108" s="45">
        <v>96.29629629629629</v>
      </c>
      <c r="BR108" s="44">
        <v>27</v>
      </c>
      <c r="BS108">
        <v>1</v>
      </c>
      <c r="BT108" s="112" t="str">
        <f>REPLACE(INDEX(GroupVertices[Group],MATCH("~"&amp;Edges[[#This Row],[Vertex 1]],GroupVertices[Vertex],0)),1,1,"")</f>
        <v>10</v>
      </c>
      <c r="BU108" s="112" t="str">
        <f>REPLACE(INDEX(GroupVertices[Group],MATCH("~"&amp;Edges[[#This Row],[Vertex 2]],GroupVertices[Vertex],0)),1,1,"")</f>
        <v>10</v>
      </c>
    </row>
    <row r="109" spans="1:73" ht="15">
      <c r="A109" s="59" t="s">
        <v>271</v>
      </c>
      <c r="B109" s="59" t="s">
        <v>271</v>
      </c>
      <c r="C109" s="60"/>
      <c r="D109" s="61"/>
      <c r="E109" s="62"/>
      <c r="F109" s="63"/>
      <c r="G109" s="60"/>
      <c r="H109" s="64"/>
      <c r="I109" s="65"/>
      <c r="J109" s="65"/>
      <c r="K109" s="30" t="s">
        <v>65</v>
      </c>
      <c r="L109" s="72">
        <v>109</v>
      </c>
      <c r="M1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9" s="67"/>
      <c r="O109" t="s">
        <v>177</v>
      </c>
      <c r="P109" s="73">
        <v>44574.98148148148</v>
      </c>
      <c r="Q109" t="s">
        <v>570</v>
      </c>
      <c r="R109">
        <v>290</v>
      </c>
      <c r="S109">
        <v>1163</v>
      </c>
      <c r="T109">
        <v>36</v>
      </c>
      <c r="U109">
        <v>9</v>
      </c>
      <c r="W109" s="74" t="s">
        <v>683</v>
      </c>
      <c r="AA109" t="s">
        <v>770</v>
      </c>
      <c r="AB109" t="s">
        <v>783</v>
      </c>
      <c r="AC109" s="74" t="s">
        <v>787</v>
      </c>
      <c r="AD109" t="s">
        <v>797</v>
      </c>
      <c r="AE109" s="75" t="str">
        <f>HYPERLINK("https://twitter.com/salamdiaha/status/1481771374859677696")</f>
        <v>https://twitter.com/salamdiaha/status/1481771374859677696</v>
      </c>
      <c r="AF109" s="73">
        <v>44574.98148148148</v>
      </c>
      <c r="AG109" s="77">
        <v>44574</v>
      </c>
      <c r="AH109" s="74" t="s">
        <v>884</v>
      </c>
      <c r="AI109" t="b">
        <v>0</v>
      </c>
      <c r="AQ109" t="s">
        <v>1008</v>
      </c>
      <c r="AV109" s="75" t="str">
        <f>HYPERLINK("https://pbs.twimg.com/media/FJBPNgJakAAjq4q.jpg")</f>
        <v>https://pbs.twimg.com/media/FJBPNgJakAAjq4q.jpg</v>
      </c>
      <c r="AW109" s="74" t="s">
        <v>1105</v>
      </c>
      <c r="AX109" s="74" t="s">
        <v>1105</v>
      </c>
      <c r="AZ109" s="74" t="s">
        <v>1384</v>
      </c>
      <c r="BA109" s="74" t="s">
        <v>1384</v>
      </c>
      <c r="BB109" s="74" t="s">
        <v>1384</v>
      </c>
      <c r="BC109" s="74" t="s">
        <v>1105</v>
      </c>
      <c r="BD109" s="74" t="s">
        <v>1326</v>
      </c>
      <c r="BJ109" s="44">
        <v>3</v>
      </c>
      <c r="BK109" s="45">
        <v>42.857142857142854</v>
      </c>
      <c r="BL109" s="44">
        <v>0</v>
      </c>
      <c r="BM109" s="45">
        <v>0</v>
      </c>
      <c r="BN109" s="44">
        <v>0</v>
      </c>
      <c r="BO109" s="45">
        <v>0</v>
      </c>
      <c r="BP109" s="44">
        <v>4</v>
      </c>
      <c r="BQ109" s="45">
        <v>57.142857142857146</v>
      </c>
      <c r="BR109" s="44">
        <v>7</v>
      </c>
      <c r="BS109">
        <v>1</v>
      </c>
      <c r="BT109" s="112" t="str">
        <f>REPLACE(INDEX(GroupVertices[Group],MATCH("~"&amp;Edges[[#This Row],[Vertex 1]],GroupVertices[Vertex],0)),1,1,"")</f>
        <v>39</v>
      </c>
      <c r="BU109" s="112" t="str">
        <f>REPLACE(INDEX(GroupVertices[Group],MATCH("~"&amp;Edges[[#This Row],[Vertex 2]],GroupVertices[Vertex],0)),1,1,"")</f>
        <v>39</v>
      </c>
    </row>
    <row r="110" spans="1:73" ht="15">
      <c r="A110" s="59" t="s">
        <v>272</v>
      </c>
      <c r="B110" s="59" t="s">
        <v>272</v>
      </c>
      <c r="C110" s="60"/>
      <c r="D110" s="61"/>
      <c r="E110" s="62"/>
      <c r="F110" s="63"/>
      <c r="G110" s="60"/>
      <c r="H110" s="64"/>
      <c r="I110" s="65"/>
      <c r="J110" s="65"/>
      <c r="K110" s="30" t="s">
        <v>65</v>
      </c>
      <c r="L110" s="72">
        <v>110</v>
      </c>
      <c r="M1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0" s="67"/>
      <c r="O110" t="s">
        <v>482</v>
      </c>
      <c r="P110" s="73">
        <v>44764.692094907405</v>
      </c>
      <c r="Q110" t="s">
        <v>571</v>
      </c>
      <c r="R110">
        <v>0</v>
      </c>
      <c r="S110">
        <v>0</v>
      </c>
      <c r="T110">
        <v>2</v>
      </c>
      <c r="U110">
        <v>0</v>
      </c>
      <c r="Z110" t="s">
        <v>741</v>
      </c>
      <c r="AC110" s="74" t="s">
        <v>787</v>
      </c>
      <c r="AD110" t="s">
        <v>794</v>
      </c>
      <c r="AE110" s="75" t="str">
        <f>HYPERLINK("https://twitter.com/domara_maman/status/1550520199383658496")</f>
        <v>https://twitter.com/domara_maman/status/1550520199383658496</v>
      </c>
      <c r="AF110" s="73">
        <v>44764.692094907405</v>
      </c>
      <c r="AG110" s="77">
        <v>44764</v>
      </c>
      <c r="AH110" s="74" t="s">
        <v>885</v>
      </c>
      <c r="AV110" s="75" t="str">
        <f>HYPERLINK("https://pbs.twimg.com/profile_images/1705128688520663041/zALRjvlK_normal.jpg")</f>
        <v>https://pbs.twimg.com/profile_images/1705128688520663041/zALRjvlK_normal.jpg</v>
      </c>
      <c r="AW110" s="74" t="s">
        <v>1106</v>
      </c>
      <c r="AX110" s="74" t="s">
        <v>1275</v>
      </c>
      <c r="AY110" s="74" t="s">
        <v>1353</v>
      </c>
      <c r="AZ110" s="74" t="s">
        <v>1391</v>
      </c>
      <c r="BA110" s="74" t="s">
        <v>1384</v>
      </c>
      <c r="BB110" s="74" t="s">
        <v>1384</v>
      </c>
      <c r="BC110" s="74" t="s">
        <v>1391</v>
      </c>
      <c r="BD110" s="74" t="s">
        <v>1353</v>
      </c>
      <c r="BJ110" s="44">
        <v>5</v>
      </c>
      <c r="BK110" s="45">
        <v>11.363636363636363</v>
      </c>
      <c r="BL110" s="44">
        <v>0</v>
      </c>
      <c r="BM110" s="45">
        <v>0</v>
      </c>
      <c r="BN110" s="44">
        <v>0</v>
      </c>
      <c r="BO110" s="45">
        <v>0</v>
      </c>
      <c r="BP110" s="44">
        <v>39</v>
      </c>
      <c r="BQ110" s="45">
        <v>88.63636363636364</v>
      </c>
      <c r="BR110" s="44">
        <v>44</v>
      </c>
      <c r="BS110">
        <v>1</v>
      </c>
      <c r="BT110" s="112" t="str">
        <f>REPLACE(INDEX(GroupVertices[Group],MATCH("~"&amp;Edges[[#This Row],[Vertex 1]],GroupVertices[Vertex],0)),1,1,"")</f>
        <v>3</v>
      </c>
      <c r="BU110" s="112" t="str">
        <f>REPLACE(INDEX(GroupVertices[Group],MATCH("~"&amp;Edges[[#This Row],[Vertex 2]],GroupVertices[Vertex],0)),1,1,"")</f>
        <v>3</v>
      </c>
    </row>
    <row r="111" spans="1:73" ht="15">
      <c r="A111" s="59" t="s">
        <v>273</v>
      </c>
      <c r="B111" s="59" t="s">
        <v>390</v>
      </c>
      <c r="C111" s="60"/>
      <c r="D111" s="61"/>
      <c r="E111" s="62"/>
      <c r="F111" s="63"/>
      <c r="G111" s="60"/>
      <c r="H111" s="64"/>
      <c r="I111" s="65"/>
      <c r="J111" s="65"/>
      <c r="K111" s="30" t="s">
        <v>65</v>
      </c>
      <c r="L111" s="72">
        <v>111</v>
      </c>
      <c r="M1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1" s="67"/>
      <c r="O111" t="s">
        <v>481</v>
      </c>
      <c r="P111" s="73">
        <v>45026.766597222224</v>
      </c>
      <c r="Q111" t="s">
        <v>572</v>
      </c>
      <c r="R111">
        <v>0</v>
      </c>
      <c r="S111">
        <v>1</v>
      </c>
      <c r="T111">
        <v>0</v>
      </c>
      <c r="U111">
        <v>0</v>
      </c>
      <c r="V111">
        <v>48</v>
      </c>
      <c r="Z111" t="s">
        <v>742</v>
      </c>
      <c r="AC111" s="74" t="s">
        <v>787</v>
      </c>
      <c r="AD111" t="s">
        <v>794</v>
      </c>
      <c r="AE111" s="75" t="str">
        <f>HYPERLINK("https://twitter.com/ellhafifie/status/1645492818885120001")</f>
        <v>https://twitter.com/ellhafifie/status/1645492818885120001</v>
      </c>
      <c r="AF111" s="73">
        <v>45026.766597222224</v>
      </c>
      <c r="AG111" s="77">
        <v>45026</v>
      </c>
      <c r="AH111" s="74" t="s">
        <v>886</v>
      </c>
      <c r="AV111" s="75" t="str">
        <f>HYPERLINK("https://pbs.twimg.com/profile_images/1542315705978470400/E4yZS8vy_normal.jpg")</f>
        <v>https://pbs.twimg.com/profile_images/1542315705978470400/E4yZS8vy_normal.jpg</v>
      </c>
      <c r="AW111" s="74" t="s">
        <v>1107</v>
      </c>
      <c r="AX111" s="74" t="s">
        <v>1107</v>
      </c>
      <c r="AZ111" s="74" t="s">
        <v>1384</v>
      </c>
      <c r="BA111" s="74" t="s">
        <v>1384</v>
      </c>
      <c r="BB111" s="74" t="s">
        <v>1384</v>
      </c>
      <c r="BC111" s="74" t="s">
        <v>1107</v>
      </c>
      <c r="BD111" s="74" t="s">
        <v>1437</v>
      </c>
      <c r="BJ111" s="44"/>
      <c r="BK111" s="45"/>
      <c r="BL111" s="44"/>
      <c r="BM111" s="45"/>
      <c r="BN111" s="44"/>
      <c r="BO111" s="45"/>
      <c r="BP111" s="44"/>
      <c r="BQ111" s="45"/>
      <c r="BR111" s="44"/>
      <c r="BS111">
        <v>8</v>
      </c>
      <c r="BT111" s="112" t="str">
        <f>REPLACE(INDEX(GroupVertices[Group],MATCH("~"&amp;Edges[[#This Row],[Vertex 1]],GroupVertices[Vertex],0)),1,1,"")</f>
        <v>4</v>
      </c>
      <c r="BU111" s="112" t="str">
        <f>REPLACE(INDEX(GroupVertices[Group],MATCH("~"&amp;Edges[[#This Row],[Vertex 2]],GroupVertices[Vertex],0)),1,1,"")</f>
        <v>4</v>
      </c>
    </row>
    <row r="112" spans="1:73" ht="15">
      <c r="A112" s="59" t="s">
        <v>273</v>
      </c>
      <c r="B112" s="59" t="s">
        <v>359</v>
      </c>
      <c r="C112" s="60"/>
      <c r="D112" s="61"/>
      <c r="E112" s="62"/>
      <c r="F112" s="63"/>
      <c r="G112" s="60"/>
      <c r="H112" s="64"/>
      <c r="I112" s="65"/>
      <c r="J112" s="65"/>
      <c r="K112" s="30" t="s">
        <v>65</v>
      </c>
      <c r="L112" s="72">
        <v>112</v>
      </c>
      <c r="M1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2" s="67"/>
      <c r="O112" t="s">
        <v>481</v>
      </c>
      <c r="P112" s="73">
        <v>45026.766597222224</v>
      </c>
      <c r="Q112" t="s">
        <v>572</v>
      </c>
      <c r="R112">
        <v>0</v>
      </c>
      <c r="S112">
        <v>1</v>
      </c>
      <c r="T112">
        <v>0</v>
      </c>
      <c r="U112">
        <v>0</v>
      </c>
      <c r="V112">
        <v>48</v>
      </c>
      <c r="Z112" t="s">
        <v>742</v>
      </c>
      <c r="AC112" s="74" t="s">
        <v>787</v>
      </c>
      <c r="AD112" t="s">
        <v>794</v>
      </c>
      <c r="AE112" s="75" t="str">
        <f>HYPERLINK("https://twitter.com/ellhafifie/status/1645492818885120001")</f>
        <v>https://twitter.com/ellhafifie/status/1645492818885120001</v>
      </c>
      <c r="AF112" s="73">
        <v>45026.766597222224</v>
      </c>
      <c r="AG112" s="77">
        <v>45026</v>
      </c>
      <c r="AH112" s="74" t="s">
        <v>886</v>
      </c>
      <c r="AV112" s="75" t="str">
        <f>HYPERLINK("https://pbs.twimg.com/profile_images/1542315705978470400/E4yZS8vy_normal.jpg")</f>
        <v>https://pbs.twimg.com/profile_images/1542315705978470400/E4yZS8vy_normal.jpg</v>
      </c>
      <c r="AW112" s="74" t="s">
        <v>1107</v>
      </c>
      <c r="AX112" s="74" t="s">
        <v>1107</v>
      </c>
      <c r="AZ112" s="74" t="s">
        <v>1384</v>
      </c>
      <c r="BA112" s="74" t="s">
        <v>1384</v>
      </c>
      <c r="BB112" s="74" t="s">
        <v>1384</v>
      </c>
      <c r="BC112" s="74" t="s">
        <v>1107</v>
      </c>
      <c r="BD112" s="74" t="s">
        <v>1437</v>
      </c>
      <c r="BJ112" s="44"/>
      <c r="BK112" s="45"/>
      <c r="BL112" s="44"/>
      <c r="BM112" s="45"/>
      <c r="BN112" s="44"/>
      <c r="BO112" s="45"/>
      <c r="BP112" s="44"/>
      <c r="BQ112" s="45"/>
      <c r="BR112" s="44"/>
      <c r="BS112">
        <v>8</v>
      </c>
      <c r="BT112" s="112" t="str">
        <f>REPLACE(INDEX(GroupVertices[Group],MATCH("~"&amp;Edges[[#This Row],[Vertex 1]],GroupVertices[Vertex],0)),1,1,"")</f>
        <v>4</v>
      </c>
      <c r="BU112" s="112" t="str">
        <f>REPLACE(INDEX(GroupVertices[Group],MATCH("~"&amp;Edges[[#This Row],[Vertex 2]],GroupVertices[Vertex],0)),1,1,"")</f>
        <v>4</v>
      </c>
    </row>
    <row r="113" spans="1:73" ht="15">
      <c r="A113" s="59" t="s">
        <v>273</v>
      </c>
      <c r="B113" s="59" t="s">
        <v>391</v>
      </c>
      <c r="C113" s="60"/>
      <c r="D113" s="61"/>
      <c r="E113" s="62"/>
      <c r="F113" s="63"/>
      <c r="G113" s="60"/>
      <c r="H113" s="64"/>
      <c r="I113" s="65"/>
      <c r="J113" s="65"/>
      <c r="K113" s="30" t="s">
        <v>65</v>
      </c>
      <c r="L113" s="72">
        <v>113</v>
      </c>
      <c r="M1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3" s="67"/>
      <c r="O113" t="s">
        <v>481</v>
      </c>
      <c r="P113" s="73">
        <v>45026.766597222224</v>
      </c>
      <c r="Q113" t="s">
        <v>572</v>
      </c>
      <c r="R113">
        <v>0</v>
      </c>
      <c r="S113">
        <v>1</v>
      </c>
      <c r="T113">
        <v>0</v>
      </c>
      <c r="U113">
        <v>0</v>
      </c>
      <c r="V113">
        <v>48</v>
      </c>
      <c r="Z113" t="s">
        <v>742</v>
      </c>
      <c r="AC113" s="74" t="s">
        <v>787</v>
      </c>
      <c r="AD113" t="s">
        <v>794</v>
      </c>
      <c r="AE113" s="75" t="str">
        <f>HYPERLINK("https://twitter.com/ellhafifie/status/1645492818885120001")</f>
        <v>https://twitter.com/ellhafifie/status/1645492818885120001</v>
      </c>
      <c r="AF113" s="73">
        <v>45026.766597222224</v>
      </c>
      <c r="AG113" s="77">
        <v>45026</v>
      </c>
      <c r="AH113" s="74" t="s">
        <v>886</v>
      </c>
      <c r="AV113" s="75" t="str">
        <f>HYPERLINK("https://pbs.twimg.com/profile_images/1542315705978470400/E4yZS8vy_normal.jpg")</f>
        <v>https://pbs.twimg.com/profile_images/1542315705978470400/E4yZS8vy_normal.jpg</v>
      </c>
      <c r="AW113" s="74" t="s">
        <v>1107</v>
      </c>
      <c r="AX113" s="74" t="s">
        <v>1107</v>
      </c>
      <c r="AZ113" s="74" t="s">
        <v>1384</v>
      </c>
      <c r="BA113" s="74" t="s">
        <v>1384</v>
      </c>
      <c r="BB113" s="74" t="s">
        <v>1384</v>
      </c>
      <c r="BC113" s="74" t="s">
        <v>1107</v>
      </c>
      <c r="BD113" s="74" t="s">
        <v>1437</v>
      </c>
      <c r="BJ113" s="44"/>
      <c r="BK113" s="45"/>
      <c r="BL113" s="44"/>
      <c r="BM113" s="45"/>
      <c r="BN113" s="44"/>
      <c r="BO113" s="45"/>
      <c r="BP113" s="44"/>
      <c r="BQ113" s="45"/>
      <c r="BR113" s="44"/>
      <c r="BS113">
        <v>1</v>
      </c>
      <c r="BT113" s="112" t="str">
        <f>REPLACE(INDEX(GroupVertices[Group],MATCH("~"&amp;Edges[[#This Row],[Vertex 1]],GroupVertices[Vertex],0)),1,1,"")</f>
        <v>4</v>
      </c>
      <c r="BU113" s="112" t="str">
        <f>REPLACE(INDEX(GroupVertices[Group],MATCH("~"&amp;Edges[[#This Row],[Vertex 2]],GroupVertices[Vertex],0)),1,1,"")</f>
        <v>4</v>
      </c>
    </row>
    <row r="114" spans="1:73" ht="15">
      <c r="A114" s="59" t="s">
        <v>273</v>
      </c>
      <c r="B114" s="59" t="s">
        <v>392</v>
      </c>
      <c r="C114" s="60"/>
      <c r="D114" s="61"/>
      <c r="E114" s="62"/>
      <c r="F114" s="63"/>
      <c r="G114" s="60"/>
      <c r="H114" s="64"/>
      <c r="I114" s="65"/>
      <c r="J114" s="65"/>
      <c r="K114" s="30" t="s">
        <v>65</v>
      </c>
      <c r="L114" s="72">
        <v>114</v>
      </c>
      <c r="M1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4" s="67"/>
      <c r="O114" t="s">
        <v>481</v>
      </c>
      <c r="P114" s="73">
        <v>45026.766597222224</v>
      </c>
      <c r="Q114" t="s">
        <v>572</v>
      </c>
      <c r="R114">
        <v>0</v>
      </c>
      <c r="S114">
        <v>1</v>
      </c>
      <c r="T114">
        <v>0</v>
      </c>
      <c r="U114">
        <v>0</v>
      </c>
      <c r="V114">
        <v>48</v>
      </c>
      <c r="Z114" t="s">
        <v>742</v>
      </c>
      <c r="AC114" s="74" t="s">
        <v>787</v>
      </c>
      <c r="AD114" t="s">
        <v>794</v>
      </c>
      <c r="AE114" s="75" t="str">
        <f>HYPERLINK("https://twitter.com/ellhafifie/status/1645492818885120001")</f>
        <v>https://twitter.com/ellhafifie/status/1645492818885120001</v>
      </c>
      <c r="AF114" s="73">
        <v>45026.766597222224</v>
      </c>
      <c r="AG114" s="77">
        <v>45026</v>
      </c>
      <c r="AH114" s="74" t="s">
        <v>886</v>
      </c>
      <c r="AV114" s="75" t="str">
        <f>HYPERLINK("https://pbs.twimg.com/profile_images/1542315705978470400/E4yZS8vy_normal.jpg")</f>
        <v>https://pbs.twimg.com/profile_images/1542315705978470400/E4yZS8vy_normal.jpg</v>
      </c>
      <c r="AW114" s="74" t="s">
        <v>1107</v>
      </c>
      <c r="AX114" s="74" t="s">
        <v>1107</v>
      </c>
      <c r="AZ114" s="74" t="s">
        <v>1384</v>
      </c>
      <c r="BA114" s="74" t="s">
        <v>1384</v>
      </c>
      <c r="BB114" s="74" t="s">
        <v>1384</v>
      </c>
      <c r="BC114" s="74" t="s">
        <v>1107</v>
      </c>
      <c r="BD114" s="74" t="s">
        <v>1437</v>
      </c>
      <c r="BJ114" s="44"/>
      <c r="BK114" s="45"/>
      <c r="BL114" s="44"/>
      <c r="BM114" s="45"/>
      <c r="BN114" s="44"/>
      <c r="BO114" s="45"/>
      <c r="BP114" s="44"/>
      <c r="BQ114" s="45"/>
      <c r="BR114" s="44"/>
      <c r="BS114">
        <v>1</v>
      </c>
      <c r="BT114" s="112" t="str">
        <f>REPLACE(INDEX(GroupVertices[Group],MATCH("~"&amp;Edges[[#This Row],[Vertex 1]],GroupVertices[Vertex],0)),1,1,"")</f>
        <v>4</v>
      </c>
      <c r="BU114" s="112" t="str">
        <f>REPLACE(INDEX(GroupVertices[Group],MATCH("~"&amp;Edges[[#This Row],[Vertex 2]],GroupVertices[Vertex],0)),1,1,"")</f>
        <v>4</v>
      </c>
    </row>
    <row r="115" spans="1:73" ht="15">
      <c r="A115" s="59" t="s">
        <v>273</v>
      </c>
      <c r="B115" s="59" t="s">
        <v>393</v>
      </c>
      <c r="C115" s="60"/>
      <c r="D115" s="61"/>
      <c r="E115" s="62"/>
      <c r="F115" s="63"/>
      <c r="G115" s="60"/>
      <c r="H115" s="64"/>
      <c r="I115" s="65"/>
      <c r="J115" s="65"/>
      <c r="K115" s="30" t="s">
        <v>65</v>
      </c>
      <c r="L115" s="72">
        <v>115</v>
      </c>
      <c r="M1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5" s="67"/>
      <c r="O115" t="s">
        <v>481</v>
      </c>
      <c r="P115" s="73">
        <v>45026.766597222224</v>
      </c>
      <c r="Q115" t="s">
        <v>572</v>
      </c>
      <c r="R115">
        <v>0</v>
      </c>
      <c r="S115">
        <v>1</v>
      </c>
      <c r="T115">
        <v>0</v>
      </c>
      <c r="U115">
        <v>0</v>
      </c>
      <c r="V115">
        <v>48</v>
      </c>
      <c r="Z115" t="s">
        <v>742</v>
      </c>
      <c r="AC115" s="74" t="s">
        <v>787</v>
      </c>
      <c r="AD115" t="s">
        <v>794</v>
      </c>
      <c r="AE115" s="75" t="str">
        <f>HYPERLINK("https://twitter.com/ellhafifie/status/1645492818885120001")</f>
        <v>https://twitter.com/ellhafifie/status/1645492818885120001</v>
      </c>
      <c r="AF115" s="73">
        <v>45026.766597222224</v>
      </c>
      <c r="AG115" s="77">
        <v>45026</v>
      </c>
      <c r="AH115" s="74" t="s">
        <v>886</v>
      </c>
      <c r="AV115" s="75" t="str">
        <f>HYPERLINK("https://pbs.twimg.com/profile_images/1542315705978470400/E4yZS8vy_normal.jpg")</f>
        <v>https://pbs.twimg.com/profile_images/1542315705978470400/E4yZS8vy_normal.jpg</v>
      </c>
      <c r="AW115" s="74" t="s">
        <v>1107</v>
      </c>
      <c r="AX115" s="74" t="s">
        <v>1107</v>
      </c>
      <c r="AZ115" s="74" t="s">
        <v>1384</v>
      </c>
      <c r="BA115" s="74" t="s">
        <v>1384</v>
      </c>
      <c r="BB115" s="74" t="s">
        <v>1384</v>
      </c>
      <c r="BC115" s="74" t="s">
        <v>1107</v>
      </c>
      <c r="BD115" s="74" t="s">
        <v>1437</v>
      </c>
      <c r="BJ115" s="44"/>
      <c r="BK115" s="45"/>
      <c r="BL115" s="44"/>
      <c r="BM115" s="45"/>
      <c r="BN115" s="44"/>
      <c r="BO115" s="45"/>
      <c r="BP115" s="44"/>
      <c r="BQ115" s="45"/>
      <c r="BR115" s="44"/>
      <c r="BS115">
        <v>1</v>
      </c>
      <c r="BT115" s="112" t="str">
        <f>REPLACE(INDEX(GroupVertices[Group],MATCH("~"&amp;Edges[[#This Row],[Vertex 1]],GroupVertices[Vertex],0)),1,1,"")</f>
        <v>4</v>
      </c>
      <c r="BU115" s="112" t="str">
        <f>REPLACE(INDEX(GroupVertices[Group],MATCH("~"&amp;Edges[[#This Row],[Vertex 2]],GroupVertices[Vertex],0)),1,1,"")</f>
        <v>4</v>
      </c>
    </row>
    <row r="116" spans="1:73" ht="15">
      <c r="A116" s="59" t="s">
        <v>273</v>
      </c>
      <c r="B116" s="59" t="s">
        <v>394</v>
      </c>
      <c r="C116" s="60"/>
      <c r="D116" s="61"/>
      <c r="E116" s="62"/>
      <c r="F116" s="63"/>
      <c r="G116" s="60"/>
      <c r="H116" s="64"/>
      <c r="I116" s="65"/>
      <c r="J116" s="65"/>
      <c r="K116" s="30" t="s">
        <v>65</v>
      </c>
      <c r="L116" s="72">
        <v>116</v>
      </c>
      <c r="M1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6" s="67"/>
      <c r="O116" t="s">
        <v>481</v>
      </c>
      <c r="P116" s="73">
        <v>45026.766597222224</v>
      </c>
      <c r="Q116" t="s">
        <v>572</v>
      </c>
      <c r="R116">
        <v>0</v>
      </c>
      <c r="S116">
        <v>1</v>
      </c>
      <c r="T116">
        <v>0</v>
      </c>
      <c r="U116">
        <v>0</v>
      </c>
      <c r="V116">
        <v>48</v>
      </c>
      <c r="Z116" t="s">
        <v>742</v>
      </c>
      <c r="AC116" s="74" t="s">
        <v>787</v>
      </c>
      <c r="AD116" t="s">
        <v>794</v>
      </c>
      <c r="AE116" s="75" t="str">
        <f>HYPERLINK("https://twitter.com/ellhafifie/status/1645492818885120001")</f>
        <v>https://twitter.com/ellhafifie/status/1645492818885120001</v>
      </c>
      <c r="AF116" s="73">
        <v>45026.766597222224</v>
      </c>
      <c r="AG116" s="77">
        <v>45026</v>
      </c>
      <c r="AH116" s="74" t="s">
        <v>886</v>
      </c>
      <c r="AV116" s="75" t="str">
        <f>HYPERLINK("https://pbs.twimg.com/profile_images/1542315705978470400/E4yZS8vy_normal.jpg")</f>
        <v>https://pbs.twimg.com/profile_images/1542315705978470400/E4yZS8vy_normal.jpg</v>
      </c>
      <c r="AW116" s="74" t="s">
        <v>1107</v>
      </c>
      <c r="AX116" s="74" t="s">
        <v>1107</v>
      </c>
      <c r="AZ116" s="74" t="s">
        <v>1384</v>
      </c>
      <c r="BA116" s="74" t="s">
        <v>1384</v>
      </c>
      <c r="BB116" s="74" t="s">
        <v>1384</v>
      </c>
      <c r="BC116" s="74" t="s">
        <v>1107</v>
      </c>
      <c r="BD116" s="74" t="s">
        <v>1437</v>
      </c>
      <c r="BJ116" s="44"/>
      <c r="BK116" s="45"/>
      <c r="BL116" s="44"/>
      <c r="BM116" s="45"/>
      <c r="BN116" s="44"/>
      <c r="BO116" s="45"/>
      <c r="BP116" s="44"/>
      <c r="BQ116" s="45"/>
      <c r="BR116" s="44"/>
      <c r="BS116">
        <v>1</v>
      </c>
      <c r="BT116" s="112" t="str">
        <f>REPLACE(INDEX(GroupVertices[Group],MATCH("~"&amp;Edges[[#This Row],[Vertex 1]],GroupVertices[Vertex],0)),1,1,"")</f>
        <v>4</v>
      </c>
      <c r="BU116" s="112" t="str">
        <f>REPLACE(INDEX(GroupVertices[Group],MATCH("~"&amp;Edges[[#This Row],[Vertex 2]],GroupVertices[Vertex],0)),1,1,"")</f>
        <v>8</v>
      </c>
    </row>
    <row r="117" spans="1:73" ht="15">
      <c r="A117" s="59" t="s">
        <v>273</v>
      </c>
      <c r="B117" s="59" t="s">
        <v>395</v>
      </c>
      <c r="C117" s="60"/>
      <c r="D117" s="61"/>
      <c r="E117" s="62"/>
      <c r="F117" s="63"/>
      <c r="G117" s="60"/>
      <c r="H117" s="64"/>
      <c r="I117" s="65"/>
      <c r="J117" s="65"/>
      <c r="K117" s="30" t="s">
        <v>65</v>
      </c>
      <c r="L117" s="72">
        <v>117</v>
      </c>
      <c r="M1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7" s="67"/>
      <c r="O117" t="s">
        <v>481</v>
      </c>
      <c r="P117" s="73">
        <v>45026.766597222224</v>
      </c>
      <c r="Q117" t="s">
        <v>572</v>
      </c>
      <c r="R117">
        <v>0</v>
      </c>
      <c r="S117">
        <v>1</v>
      </c>
      <c r="T117">
        <v>0</v>
      </c>
      <c r="U117">
        <v>0</v>
      </c>
      <c r="V117">
        <v>48</v>
      </c>
      <c r="Z117" t="s">
        <v>742</v>
      </c>
      <c r="AC117" s="74" t="s">
        <v>787</v>
      </c>
      <c r="AD117" t="s">
        <v>794</v>
      </c>
      <c r="AE117" s="75" t="str">
        <f>HYPERLINK("https://twitter.com/ellhafifie/status/1645492818885120001")</f>
        <v>https://twitter.com/ellhafifie/status/1645492818885120001</v>
      </c>
      <c r="AF117" s="73">
        <v>45026.766597222224</v>
      </c>
      <c r="AG117" s="77">
        <v>45026</v>
      </c>
      <c r="AH117" s="74" t="s">
        <v>886</v>
      </c>
      <c r="AV117" s="75" t="str">
        <f>HYPERLINK("https://pbs.twimg.com/profile_images/1542315705978470400/E4yZS8vy_normal.jpg")</f>
        <v>https://pbs.twimg.com/profile_images/1542315705978470400/E4yZS8vy_normal.jpg</v>
      </c>
      <c r="AW117" s="74" t="s">
        <v>1107</v>
      </c>
      <c r="AX117" s="74" t="s">
        <v>1107</v>
      </c>
      <c r="AZ117" s="74" t="s">
        <v>1384</v>
      </c>
      <c r="BA117" s="74" t="s">
        <v>1384</v>
      </c>
      <c r="BB117" s="74" t="s">
        <v>1384</v>
      </c>
      <c r="BC117" s="74" t="s">
        <v>1107</v>
      </c>
      <c r="BD117" s="74" t="s">
        <v>1437</v>
      </c>
      <c r="BJ117" s="44">
        <v>5</v>
      </c>
      <c r="BK117" s="45">
        <v>14.285714285714286</v>
      </c>
      <c r="BL117" s="44">
        <v>0</v>
      </c>
      <c r="BM117" s="45">
        <v>0</v>
      </c>
      <c r="BN117" s="44">
        <v>0</v>
      </c>
      <c r="BO117" s="45">
        <v>0</v>
      </c>
      <c r="BP117" s="44">
        <v>30</v>
      </c>
      <c r="BQ117" s="45">
        <v>85.71428571428571</v>
      </c>
      <c r="BR117" s="44">
        <v>35</v>
      </c>
      <c r="BS117">
        <v>1</v>
      </c>
      <c r="BT117" s="112" t="str">
        <f>REPLACE(INDEX(GroupVertices[Group],MATCH("~"&amp;Edges[[#This Row],[Vertex 1]],GroupVertices[Vertex],0)),1,1,"")</f>
        <v>4</v>
      </c>
      <c r="BU117" s="112" t="str">
        <f>REPLACE(INDEX(GroupVertices[Group],MATCH("~"&amp;Edges[[#This Row],[Vertex 2]],GroupVertices[Vertex],0)),1,1,"")</f>
        <v>4</v>
      </c>
    </row>
    <row r="118" spans="1:73" ht="15">
      <c r="A118" s="59" t="s">
        <v>274</v>
      </c>
      <c r="B118" s="59" t="s">
        <v>396</v>
      </c>
      <c r="C118" s="60"/>
      <c r="D118" s="61"/>
      <c r="E118" s="62"/>
      <c r="F118" s="63"/>
      <c r="G118" s="60"/>
      <c r="H118" s="64"/>
      <c r="I118" s="65"/>
      <c r="J118" s="65"/>
      <c r="K118" s="30" t="s">
        <v>65</v>
      </c>
      <c r="L118" s="72">
        <v>118</v>
      </c>
      <c r="M1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8" s="67"/>
      <c r="O118" t="s">
        <v>483</v>
      </c>
      <c r="P118" s="73">
        <v>44578.14644675926</v>
      </c>
      <c r="Q118" t="s">
        <v>573</v>
      </c>
      <c r="R118">
        <v>0</v>
      </c>
      <c r="S118">
        <v>0</v>
      </c>
      <c r="T118">
        <v>3</v>
      </c>
      <c r="U118">
        <v>0</v>
      </c>
      <c r="Z118" t="s">
        <v>743</v>
      </c>
      <c r="AC118" s="74" t="s">
        <v>787</v>
      </c>
      <c r="AD118" t="s">
        <v>794</v>
      </c>
      <c r="AE118" s="75" t="str">
        <f>HYPERLINK("https://twitter.com/ahamad_ghazali/status/1482918321024802820")</f>
        <v>https://twitter.com/ahamad_ghazali/status/1482918321024802820</v>
      </c>
      <c r="AF118" s="73">
        <v>44578.14644675926</v>
      </c>
      <c r="AG118" s="77">
        <v>44578</v>
      </c>
      <c r="AH118" s="74" t="s">
        <v>887</v>
      </c>
      <c r="AV118" s="75" t="str">
        <f>HYPERLINK("https://pbs.twimg.com/profile_images/1465976076337823749/7hDeQshF_normal.png")</f>
        <v>https://pbs.twimg.com/profile_images/1465976076337823749/7hDeQshF_normal.png</v>
      </c>
      <c r="AW118" s="74" t="s">
        <v>1108</v>
      </c>
      <c r="AX118" s="74" t="s">
        <v>1276</v>
      </c>
      <c r="AY118" s="74" t="s">
        <v>1354</v>
      </c>
      <c r="AZ118" s="74" t="s">
        <v>1392</v>
      </c>
      <c r="BA118" s="74" t="s">
        <v>1384</v>
      </c>
      <c r="BB118" s="74" t="s">
        <v>1384</v>
      </c>
      <c r="BC118" s="74" t="s">
        <v>1392</v>
      </c>
      <c r="BD118" s="74" t="s">
        <v>1438</v>
      </c>
      <c r="BJ118" s="44">
        <v>5</v>
      </c>
      <c r="BK118" s="45">
        <v>33.333333333333336</v>
      </c>
      <c r="BL118" s="44">
        <v>1</v>
      </c>
      <c r="BM118" s="45">
        <v>6.666666666666667</v>
      </c>
      <c r="BN118" s="44">
        <v>0</v>
      </c>
      <c r="BO118" s="45">
        <v>0</v>
      </c>
      <c r="BP118" s="44">
        <v>9</v>
      </c>
      <c r="BQ118" s="45">
        <v>60</v>
      </c>
      <c r="BR118" s="44">
        <v>15</v>
      </c>
      <c r="BS118">
        <v>1</v>
      </c>
      <c r="BT118" s="112" t="str">
        <f>REPLACE(INDEX(GroupVertices[Group],MATCH("~"&amp;Edges[[#This Row],[Vertex 1]],GroupVertices[Vertex],0)),1,1,"")</f>
        <v>8</v>
      </c>
      <c r="BU118" s="112" t="str">
        <f>REPLACE(INDEX(GroupVertices[Group],MATCH("~"&amp;Edges[[#This Row],[Vertex 2]],GroupVertices[Vertex],0)),1,1,"")</f>
        <v>8</v>
      </c>
    </row>
    <row r="119" spans="1:73" ht="15">
      <c r="A119" s="59" t="s">
        <v>274</v>
      </c>
      <c r="B119" s="59" t="s">
        <v>397</v>
      </c>
      <c r="C119" s="60"/>
      <c r="D119" s="61"/>
      <c r="E119" s="62"/>
      <c r="F119" s="63"/>
      <c r="G119" s="60"/>
      <c r="H119" s="64"/>
      <c r="I119" s="65"/>
      <c r="J119" s="65"/>
      <c r="K119" s="30" t="s">
        <v>65</v>
      </c>
      <c r="L119" s="72">
        <v>119</v>
      </c>
      <c r="M1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9" s="67"/>
      <c r="O119" t="s">
        <v>482</v>
      </c>
      <c r="P119" s="73">
        <v>44577.28084490741</v>
      </c>
      <c r="Q119" t="s">
        <v>574</v>
      </c>
      <c r="R119">
        <v>0</v>
      </c>
      <c r="S119">
        <v>0</v>
      </c>
      <c r="T119">
        <v>0</v>
      </c>
      <c r="U119">
        <v>0</v>
      </c>
      <c r="Z119" t="s">
        <v>744</v>
      </c>
      <c r="AC119" s="74" t="s">
        <v>787</v>
      </c>
      <c r="AD119" t="s">
        <v>794</v>
      </c>
      <c r="AE119" s="75" t="str">
        <f>HYPERLINK("https://twitter.com/ahamad_ghazali/status/1482604637350170625")</f>
        <v>https://twitter.com/ahamad_ghazali/status/1482604637350170625</v>
      </c>
      <c r="AF119" s="73">
        <v>44577.28084490741</v>
      </c>
      <c r="AG119" s="77">
        <v>44577</v>
      </c>
      <c r="AH119" s="74" t="s">
        <v>888</v>
      </c>
      <c r="AV119" s="75" t="str">
        <f>HYPERLINK("https://pbs.twimg.com/profile_images/1465976076337823749/7hDeQshF_normal.png")</f>
        <v>https://pbs.twimg.com/profile_images/1465976076337823749/7hDeQshF_normal.png</v>
      </c>
      <c r="AW119" s="74" t="s">
        <v>1109</v>
      </c>
      <c r="AX119" s="74" t="s">
        <v>1277</v>
      </c>
      <c r="AY119" s="74" t="s">
        <v>1355</v>
      </c>
      <c r="AZ119" s="74" t="s">
        <v>1393</v>
      </c>
      <c r="BA119" s="74" t="s">
        <v>1384</v>
      </c>
      <c r="BB119" s="74" t="s">
        <v>1384</v>
      </c>
      <c r="BC119" s="74" t="s">
        <v>1393</v>
      </c>
      <c r="BD119" s="74" t="s">
        <v>1438</v>
      </c>
      <c r="BJ119" s="44">
        <v>7</v>
      </c>
      <c r="BK119" s="45">
        <v>35</v>
      </c>
      <c r="BL119" s="44">
        <v>1</v>
      </c>
      <c r="BM119" s="45">
        <v>5</v>
      </c>
      <c r="BN119" s="44">
        <v>0</v>
      </c>
      <c r="BO119" s="45">
        <v>0</v>
      </c>
      <c r="BP119" s="44">
        <v>12</v>
      </c>
      <c r="BQ119" s="45">
        <v>60</v>
      </c>
      <c r="BR119" s="44">
        <v>20</v>
      </c>
      <c r="BS119">
        <v>1</v>
      </c>
      <c r="BT119" s="112" t="str">
        <f>REPLACE(INDEX(GroupVertices[Group],MATCH("~"&amp;Edges[[#This Row],[Vertex 1]],GroupVertices[Vertex],0)),1,1,"")</f>
        <v>8</v>
      </c>
      <c r="BU119" s="112" t="str">
        <f>REPLACE(INDEX(GroupVertices[Group],MATCH("~"&amp;Edges[[#This Row],[Vertex 2]],GroupVertices[Vertex],0)),1,1,"")</f>
        <v>8</v>
      </c>
    </row>
    <row r="120" spans="1:73" ht="15">
      <c r="A120" s="59" t="s">
        <v>274</v>
      </c>
      <c r="B120" s="59" t="s">
        <v>398</v>
      </c>
      <c r="C120" s="60"/>
      <c r="D120" s="61"/>
      <c r="E120" s="62"/>
      <c r="F120" s="63"/>
      <c r="G120" s="60"/>
      <c r="H120" s="64"/>
      <c r="I120" s="65"/>
      <c r="J120" s="65"/>
      <c r="K120" s="30" t="s">
        <v>65</v>
      </c>
      <c r="L120" s="72">
        <v>120</v>
      </c>
      <c r="M1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0" s="67"/>
      <c r="O120" t="s">
        <v>482</v>
      </c>
      <c r="P120" s="73">
        <v>44704.177881944444</v>
      </c>
      <c r="Q120" t="s">
        <v>575</v>
      </c>
      <c r="R120">
        <v>0</v>
      </c>
      <c r="S120">
        <v>0</v>
      </c>
      <c r="T120">
        <v>1</v>
      </c>
      <c r="U120">
        <v>0</v>
      </c>
      <c r="Z120" t="s">
        <v>288</v>
      </c>
      <c r="AC120" s="74" t="s">
        <v>787</v>
      </c>
      <c r="AD120" t="s">
        <v>794</v>
      </c>
      <c r="AE120" s="75" t="str">
        <f>HYPERLINK("https://twitter.com/ahamad_ghazali/status/1528590584671510530")</f>
        <v>https://twitter.com/ahamad_ghazali/status/1528590584671510530</v>
      </c>
      <c r="AF120" s="73">
        <v>44704.177881944444</v>
      </c>
      <c r="AG120" s="77">
        <v>44704</v>
      </c>
      <c r="AH120" s="74" t="s">
        <v>889</v>
      </c>
      <c r="AV120" s="75" t="str">
        <f>HYPERLINK("https://pbs.twimg.com/profile_images/1465976076337823749/7hDeQshF_normal.png")</f>
        <v>https://pbs.twimg.com/profile_images/1465976076337823749/7hDeQshF_normal.png</v>
      </c>
      <c r="AW120" s="74" t="s">
        <v>1110</v>
      </c>
      <c r="AX120" s="74" t="s">
        <v>1278</v>
      </c>
      <c r="AY120" s="74" t="s">
        <v>1356</v>
      </c>
      <c r="AZ120" s="74" t="s">
        <v>1394</v>
      </c>
      <c r="BA120" s="74" t="s">
        <v>1384</v>
      </c>
      <c r="BB120" s="74" t="s">
        <v>1384</v>
      </c>
      <c r="BC120" s="74" t="s">
        <v>1394</v>
      </c>
      <c r="BD120" s="74" t="s">
        <v>1438</v>
      </c>
      <c r="BJ120" s="44">
        <v>5</v>
      </c>
      <c r="BK120" s="45">
        <v>20.833333333333332</v>
      </c>
      <c r="BL120" s="44">
        <v>1</v>
      </c>
      <c r="BM120" s="45">
        <v>4.166666666666667</v>
      </c>
      <c r="BN120" s="44">
        <v>0</v>
      </c>
      <c r="BO120" s="45">
        <v>0</v>
      </c>
      <c r="BP120" s="44">
        <v>18</v>
      </c>
      <c r="BQ120" s="45">
        <v>75</v>
      </c>
      <c r="BR120" s="44">
        <v>24</v>
      </c>
      <c r="BS120">
        <v>1</v>
      </c>
      <c r="BT120" s="112" t="str">
        <f>REPLACE(INDEX(GroupVertices[Group],MATCH("~"&amp;Edges[[#This Row],[Vertex 1]],GroupVertices[Vertex],0)),1,1,"")</f>
        <v>8</v>
      </c>
      <c r="BU120" s="112" t="str">
        <f>REPLACE(INDEX(GroupVertices[Group],MATCH("~"&amp;Edges[[#This Row],[Vertex 2]],GroupVertices[Vertex],0)),1,1,"")</f>
        <v>8</v>
      </c>
    </row>
    <row r="121" spans="1:73" ht="15">
      <c r="A121" s="59" t="s">
        <v>274</v>
      </c>
      <c r="B121" s="59" t="s">
        <v>394</v>
      </c>
      <c r="C121" s="60"/>
      <c r="D121" s="61"/>
      <c r="E121" s="62"/>
      <c r="F121" s="63"/>
      <c r="G121" s="60"/>
      <c r="H121" s="64"/>
      <c r="I121" s="65"/>
      <c r="J121" s="65"/>
      <c r="K121" s="30" t="s">
        <v>65</v>
      </c>
      <c r="L121" s="72">
        <v>121</v>
      </c>
      <c r="M1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1" s="67"/>
      <c r="O121" t="s">
        <v>483</v>
      </c>
      <c r="P121" s="73">
        <v>44578.14644675926</v>
      </c>
      <c r="Q121" t="s">
        <v>573</v>
      </c>
      <c r="R121">
        <v>0</v>
      </c>
      <c r="S121">
        <v>0</v>
      </c>
      <c r="T121">
        <v>3</v>
      </c>
      <c r="U121">
        <v>0</v>
      </c>
      <c r="Z121" t="s">
        <v>743</v>
      </c>
      <c r="AC121" s="74" t="s">
        <v>787</v>
      </c>
      <c r="AD121" t="s">
        <v>794</v>
      </c>
      <c r="AE121" s="75" t="str">
        <f>HYPERLINK("https://twitter.com/ahamad_ghazali/status/1482918321024802820")</f>
        <v>https://twitter.com/ahamad_ghazali/status/1482918321024802820</v>
      </c>
      <c r="AF121" s="73">
        <v>44578.14644675926</v>
      </c>
      <c r="AG121" s="77">
        <v>44578</v>
      </c>
      <c r="AH121" s="74" t="s">
        <v>887</v>
      </c>
      <c r="AV121" s="75" t="str">
        <f>HYPERLINK("https://pbs.twimg.com/profile_images/1465976076337823749/7hDeQshF_normal.png")</f>
        <v>https://pbs.twimg.com/profile_images/1465976076337823749/7hDeQshF_normal.png</v>
      </c>
      <c r="AW121" s="74" t="s">
        <v>1108</v>
      </c>
      <c r="AX121" s="74" t="s">
        <v>1276</v>
      </c>
      <c r="AY121" s="74" t="s">
        <v>1354</v>
      </c>
      <c r="AZ121" s="74" t="s">
        <v>1392</v>
      </c>
      <c r="BA121" s="74" t="s">
        <v>1384</v>
      </c>
      <c r="BB121" s="74" t="s">
        <v>1384</v>
      </c>
      <c r="BC121" s="74" t="s">
        <v>1392</v>
      </c>
      <c r="BD121" s="74" t="s">
        <v>1438</v>
      </c>
      <c r="BJ121" s="44"/>
      <c r="BK121" s="45"/>
      <c r="BL121" s="44"/>
      <c r="BM121" s="45"/>
      <c r="BN121" s="44"/>
      <c r="BO121" s="45"/>
      <c r="BP121" s="44"/>
      <c r="BQ121" s="45"/>
      <c r="BR121" s="44"/>
      <c r="BS121">
        <v>1</v>
      </c>
      <c r="BT121" s="112" t="str">
        <f>REPLACE(INDEX(GroupVertices[Group],MATCH("~"&amp;Edges[[#This Row],[Vertex 1]],GroupVertices[Vertex],0)),1,1,"")</f>
        <v>8</v>
      </c>
      <c r="BU121" s="112" t="str">
        <f>REPLACE(INDEX(GroupVertices[Group],MATCH("~"&amp;Edges[[#This Row],[Vertex 2]],GroupVertices[Vertex],0)),1,1,"")</f>
        <v>8</v>
      </c>
    </row>
    <row r="122" spans="1:73" ht="15">
      <c r="A122" s="59" t="s">
        <v>274</v>
      </c>
      <c r="B122" s="59" t="s">
        <v>338</v>
      </c>
      <c r="C122" s="60"/>
      <c r="D122" s="61"/>
      <c r="E122" s="62"/>
      <c r="F122" s="63"/>
      <c r="G122" s="60"/>
      <c r="H122" s="64"/>
      <c r="I122" s="65"/>
      <c r="J122" s="65"/>
      <c r="K122" s="30" t="s">
        <v>65</v>
      </c>
      <c r="L122" s="72">
        <v>122</v>
      </c>
      <c r="M1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2" s="67"/>
      <c r="O122" t="s">
        <v>482</v>
      </c>
      <c r="P122" s="73">
        <v>44577.28135416667</v>
      </c>
      <c r="Q122" t="s">
        <v>576</v>
      </c>
      <c r="R122">
        <v>0</v>
      </c>
      <c r="S122">
        <v>0</v>
      </c>
      <c r="T122">
        <v>0</v>
      </c>
      <c r="U122">
        <v>0</v>
      </c>
      <c r="Z122" t="s">
        <v>338</v>
      </c>
      <c r="AC122" s="74" t="s">
        <v>787</v>
      </c>
      <c r="AD122" t="s">
        <v>794</v>
      </c>
      <c r="AE122" s="75" t="str">
        <f>HYPERLINK("https://twitter.com/ahamad_ghazali/status/1482604823069749248")</f>
        <v>https://twitter.com/ahamad_ghazali/status/1482604823069749248</v>
      </c>
      <c r="AF122" s="73">
        <v>44577.28135416667</v>
      </c>
      <c r="AG122" s="77">
        <v>44577</v>
      </c>
      <c r="AH122" s="74" t="s">
        <v>890</v>
      </c>
      <c r="AV122" s="75" t="str">
        <f>HYPERLINK("https://pbs.twimg.com/profile_images/1465976076337823749/7hDeQshF_normal.png")</f>
        <v>https://pbs.twimg.com/profile_images/1465976076337823749/7hDeQshF_normal.png</v>
      </c>
      <c r="AW122" s="74" t="s">
        <v>1111</v>
      </c>
      <c r="AX122" s="74" t="s">
        <v>1277</v>
      </c>
      <c r="AY122" s="74" t="s">
        <v>1320</v>
      </c>
      <c r="AZ122" s="74" t="s">
        <v>1277</v>
      </c>
      <c r="BA122" s="74" t="s">
        <v>1384</v>
      </c>
      <c r="BB122" s="74" t="s">
        <v>1384</v>
      </c>
      <c r="BC122" s="74" t="s">
        <v>1277</v>
      </c>
      <c r="BD122" s="74" t="s">
        <v>1438</v>
      </c>
      <c r="BJ122" s="44">
        <v>6</v>
      </c>
      <c r="BK122" s="45">
        <v>31.57894736842105</v>
      </c>
      <c r="BL122" s="44">
        <v>1</v>
      </c>
      <c r="BM122" s="45">
        <v>5.2631578947368425</v>
      </c>
      <c r="BN122" s="44">
        <v>0</v>
      </c>
      <c r="BO122" s="45">
        <v>0</v>
      </c>
      <c r="BP122" s="44">
        <v>12</v>
      </c>
      <c r="BQ122" s="45">
        <v>63.1578947368421</v>
      </c>
      <c r="BR122" s="44">
        <v>19</v>
      </c>
      <c r="BS122">
        <v>8</v>
      </c>
      <c r="BT122" s="112" t="str">
        <f>REPLACE(INDEX(GroupVertices[Group],MATCH("~"&amp;Edges[[#This Row],[Vertex 1]],GroupVertices[Vertex],0)),1,1,"")</f>
        <v>8</v>
      </c>
      <c r="BU122" s="112" t="str">
        <f>REPLACE(INDEX(GroupVertices[Group],MATCH("~"&amp;Edges[[#This Row],[Vertex 2]],GroupVertices[Vertex],0)),1,1,"")</f>
        <v>8</v>
      </c>
    </row>
    <row r="123" spans="1:73" ht="15">
      <c r="A123" s="59" t="s">
        <v>274</v>
      </c>
      <c r="B123" s="59" t="s">
        <v>314</v>
      </c>
      <c r="C123" s="60"/>
      <c r="D123" s="61"/>
      <c r="E123" s="62"/>
      <c r="F123" s="63"/>
      <c r="G123" s="60"/>
      <c r="H123" s="64"/>
      <c r="I123" s="65"/>
      <c r="J123" s="65"/>
      <c r="K123" s="30" t="s">
        <v>65</v>
      </c>
      <c r="L123" s="72">
        <v>123</v>
      </c>
      <c r="M1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3" s="67"/>
      <c r="O123" t="s">
        <v>482</v>
      </c>
      <c r="P123" s="73">
        <v>44537.7425</v>
      </c>
      <c r="Q123" t="s">
        <v>577</v>
      </c>
      <c r="R123">
        <v>0</v>
      </c>
      <c r="S123">
        <v>0</v>
      </c>
      <c r="T123">
        <v>0</v>
      </c>
      <c r="U123">
        <v>0</v>
      </c>
      <c r="Z123" t="s">
        <v>314</v>
      </c>
      <c r="AC123" s="74" t="s">
        <v>787</v>
      </c>
      <c r="AD123" t="s">
        <v>794</v>
      </c>
      <c r="AE123" s="75" t="str">
        <f>HYPERLINK("https://twitter.com/ahamad_ghazali/status/1468276420510027777")</f>
        <v>https://twitter.com/ahamad_ghazali/status/1468276420510027777</v>
      </c>
      <c r="AF123" s="73">
        <v>44537.7425</v>
      </c>
      <c r="AG123" s="77">
        <v>44537</v>
      </c>
      <c r="AH123" s="74" t="s">
        <v>891</v>
      </c>
      <c r="AV123" s="75" t="str">
        <f>HYPERLINK("https://pbs.twimg.com/profile_images/1465976076337823749/7hDeQshF_normal.png")</f>
        <v>https://pbs.twimg.com/profile_images/1465976076337823749/7hDeQshF_normal.png</v>
      </c>
      <c r="AW123" s="74" t="s">
        <v>1112</v>
      </c>
      <c r="AX123" s="74" t="s">
        <v>1279</v>
      </c>
      <c r="AY123" s="74" t="s">
        <v>1341</v>
      </c>
      <c r="AZ123" s="74" t="s">
        <v>1279</v>
      </c>
      <c r="BA123" s="74" t="s">
        <v>1384</v>
      </c>
      <c r="BB123" s="74" t="s">
        <v>1384</v>
      </c>
      <c r="BC123" s="74" t="s">
        <v>1279</v>
      </c>
      <c r="BD123" s="74" t="s">
        <v>1438</v>
      </c>
      <c r="BJ123" s="44">
        <v>5</v>
      </c>
      <c r="BK123" s="45">
        <v>55.55555555555556</v>
      </c>
      <c r="BL123" s="44">
        <v>1</v>
      </c>
      <c r="BM123" s="45">
        <v>11.11111111111111</v>
      </c>
      <c r="BN123" s="44">
        <v>0</v>
      </c>
      <c r="BO123" s="45">
        <v>0</v>
      </c>
      <c r="BP123" s="44">
        <v>3</v>
      </c>
      <c r="BQ123" s="45">
        <v>33.333333333333336</v>
      </c>
      <c r="BR123" s="44">
        <v>9</v>
      </c>
      <c r="BS123">
        <v>1</v>
      </c>
      <c r="BT123" s="112" t="str">
        <f>REPLACE(INDEX(GroupVertices[Group],MATCH("~"&amp;Edges[[#This Row],[Vertex 1]],GroupVertices[Vertex],0)),1,1,"")</f>
        <v>8</v>
      </c>
      <c r="BU123" s="112" t="str">
        <f>REPLACE(INDEX(GroupVertices[Group],MATCH("~"&amp;Edges[[#This Row],[Vertex 2]],GroupVertices[Vertex],0)),1,1,"")</f>
        <v>11</v>
      </c>
    </row>
    <row r="124" spans="1:73" ht="15">
      <c r="A124" s="59" t="s">
        <v>275</v>
      </c>
      <c r="B124" s="59" t="s">
        <v>354</v>
      </c>
      <c r="C124" s="60"/>
      <c r="D124" s="61"/>
      <c r="E124" s="62"/>
      <c r="F124" s="63"/>
      <c r="G124" s="60"/>
      <c r="H124" s="64"/>
      <c r="I124" s="65"/>
      <c r="J124" s="65"/>
      <c r="K124" s="30" t="s">
        <v>65</v>
      </c>
      <c r="L124" s="72">
        <v>124</v>
      </c>
      <c r="M1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4" s="67"/>
      <c r="O124" t="s">
        <v>482</v>
      </c>
      <c r="P124" s="73">
        <v>44772.65677083333</v>
      </c>
      <c r="Q124" t="s">
        <v>578</v>
      </c>
      <c r="R124">
        <v>0</v>
      </c>
      <c r="S124">
        <v>1</v>
      </c>
      <c r="T124">
        <v>1</v>
      </c>
      <c r="U124">
        <v>0</v>
      </c>
      <c r="W124" s="74" t="s">
        <v>682</v>
      </c>
      <c r="Z124" t="s">
        <v>354</v>
      </c>
      <c r="AC124" s="74" t="s">
        <v>787</v>
      </c>
      <c r="AD124" t="s">
        <v>798</v>
      </c>
      <c r="AE124" s="75" t="str">
        <f>HYPERLINK("https://twitter.com/enirositaa/status/1553406502152523777")</f>
        <v>https://twitter.com/enirositaa/status/1553406502152523777</v>
      </c>
      <c r="AF124" s="73">
        <v>44772.65677083333</v>
      </c>
      <c r="AG124" s="77">
        <v>44772</v>
      </c>
      <c r="AH124" s="74" t="s">
        <v>892</v>
      </c>
      <c r="AV124" s="75" t="str">
        <f>HYPERLINK("https://pbs.twimg.com/profile_images/1728903111551647744/X7Of6-hz_normal.jpg")</f>
        <v>https://pbs.twimg.com/profile_images/1728903111551647744/X7Of6-hz_normal.jpg</v>
      </c>
      <c r="AW124" s="74" t="s">
        <v>1113</v>
      </c>
      <c r="AX124" s="74" t="s">
        <v>1280</v>
      </c>
      <c r="AY124" s="74" t="s">
        <v>1330</v>
      </c>
      <c r="AZ124" s="74" t="s">
        <v>1280</v>
      </c>
      <c r="BA124" s="74" t="s">
        <v>1384</v>
      </c>
      <c r="BB124" s="74" t="s">
        <v>1384</v>
      </c>
      <c r="BC124" s="74" t="s">
        <v>1280</v>
      </c>
      <c r="BD124">
        <v>453291086</v>
      </c>
      <c r="BJ124" s="44">
        <v>0</v>
      </c>
      <c r="BK124" s="45">
        <v>0</v>
      </c>
      <c r="BL124" s="44">
        <v>0</v>
      </c>
      <c r="BM124" s="45">
        <v>0</v>
      </c>
      <c r="BN124" s="44">
        <v>0</v>
      </c>
      <c r="BO124" s="45">
        <v>0</v>
      </c>
      <c r="BP124" s="44">
        <v>2</v>
      </c>
      <c r="BQ124" s="45">
        <v>100</v>
      </c>
      <c r="BR124" s="44">
        <v>2</v>
      </c>
      <c r="BS124">
        <v>1</v>
      </c>
      <c r="BT124" s="112" t="str">
        <f>REPLACE(INDEX(GroupVertices[Group],MATCH("~"&amp;Edges[[#This Row],[Vertex 1]],GroupVertices[Vertex],0)),1,1,"")</f>
        <v>15</v>
      </c>
      <c r="BU124" s="112" t="str">
        <f>REPLACE(INDEX(GroupVertices[Group],MATCH("~"&amp;Edges[[#This Row],[Vertex 2]],GroupVertices[Vertex],0)),1,1,"")</f>
        <v>15</v>
      </c>
    </row>
    <row r="125" spans="1:73" ht="15">
      <c r="A125" s="59" t="s">
        <v>275</v>
      </c>
      <c r="B125" s="59" t="s">
        <v>399</v>
      </c>
      <c r="C125" s="60"/>
      <c r="D125" s="61"/>
      <c r="E125" s="62"/>
      <c r="F125" s="63"/>
      <c r="G125" s="60"/>
      <c r="H125" s="64"/>
      <c r="I125" s="65"/>
      <c r="J125" s="65"/>
      <c r="K125" s="30" t="s">
        <v>65</v>
      </c>
      <c r="L125" s="72">
        <v>125</v>
      </c>
      <c r="M1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5" s="67"/>
      <c r="O125" t="s">
        <v>482</v>
      </c>
      <c r="P125" s="73">
        <v>44744.563425925924</v>
      </c>
      <c r="Q125" t="s">
        <v>579</v>
      </c>
      <c r="R125">
        <v>0</v>
      </c>
      <c r="S125">
        <v>0</v>
      </c>
      <c r="T125">
        <v>0</v>
      </c>
      <c r="U125">
        <v>0</v>
      </c>
      <c r="W125" s="74" t="s">
        <v>682</v>
      </c>
      <c r="Z125" t="s">
        <v>399</v>
      </c>
      <c r="AC125" s="74" t="s">
        <v>787</v>
      </c>
      <c r="AD125" t="s">
        <v>798</v>
      </c>
      <c r="AE125" s="75" t="str">
        <f>HYPERLINK("https://twitter.com/enirositaa/status/1543225814455422978")</f>
        <v>https://twitter.com/enirositaa/status/1543225814455422978</v>
      </c>
      <c r="AF125" s="73">
        <v>44744.563425925924</v>
      </c>
      <c r="AG125" s="77">
        <v>44744</v>
      </c>
      <c r="AH125" s="74" t="s">
        <v>893</v>
      </c>
      <c r="AV125" s="75" t="str">
        <f>HYPERLINK("https://pbs.twimg.com/profile_images/1728903111551647744/X7Of6-hz_normal.jpg")</f>
        <v>https://pbs.twimg.com/profile_images/1728903111551647744/X7Of6-hz_normal.jpg</v>
      </c>
      <c r="AW125" s="74" t="s">
        <v>1114</v>
      </c>
      <c r="AX125" s="74" t="s">
        <v>1281</v>
      </c>
      <c r="AY125" s="74" t="s">
        <v>1357</v>
      </c>
      <c r="AZ125" s="74" t="s">
        <v>1281</v>
      </c>
      <c r="BA125" s="74" t="s">
        <v>1384</v>
      </c>
      <c r="BB125" s="74" t="s">
        <v>1384</v>
      </c>
      <c r="BC125" s="74" t="s">
        <v>1281</v>
      </c>
      <c r="BD125">
        <v>453291086</v>
      </c>
      <c r="BJ125" s="44">
        <v>0</v>
      </c>
      <c r="BK125" s="45">
        <v>0</v>
      </c>
      <c r="BL125" s="44">
        <v>0</v>
      </c>
      <c r="BM125" s="45">
        <v>0</v>
      </c>
      <c r="BN125" s="44">
        <v>0</v>
      </c>
      <c r="BO125" s="45">
        <v>0</v>
      </c>
      <c r="BP125" s="44">
        <v>2</v>
      </c>
      <c r="BQ125" s="45">
        <v>100</v>
      </c>
      <c r="BR125" s="44">
        <v>2</v>
      </c>
      <c r="BS125">
        <v>1</v>
      </c>
      <c r="BT125" s="112" t="str">
        <f>REPLACE(INDEX(GroupVertices[Group],MATCH("~"&amp;Edges[[#This Row],[Vertex 1]],GroupVertices[Vertex],0)),1,1,"")</f>
        <v>15</v>
      </c>
      <c r="BU125" s="112" t="str">
        <f>REPLACE(INDEX(GroupVertices[Group],MATCH("~"&amp;Edges[[#This Row],[Vertex 2]],GroupVertices[Vertex],0)),1,1,"")</f>
        <v>15</v>
      </c>
    </row>
    <row r="126" spans="1:73" ht="15">
      <c r="A126" s="59" t="s">
        <v>275</v>
      </c>
      <c r="B126" s="59" t="s">
        <v>400</v>
      </c>
      <c r="C126" s="60"/>
      <c r="D126" s="61"/>
      <c r="E126" s="62"/>
      <c r="F126" s="63"/>
      <c r="G126" s="60"/>
      <c r="H126" s="64"/>
      <c r="I126" s="65"/>
      <c r="J126" s="65"/>
      <c r="K126" s="30" t="s">
        <v>65</v>
      </c>
      <c r="L126" s="72">
        <v>126</v>
      </c>
      <c r="M1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6" s="67"/>
      <c r="O126" t="s">
        <v>482</v>
      </c>
      <c r="P126" s="73">
        <v>44793.94712962963</v>
      </c>
      <c r="Q126" t="s">
        <v>580</v>
      </c>
      <c r="R126">
        <v>0</v>
      </c>
      <c r="S126">
        <v>0</v>
      </c>
      <c r="T126">
        <v>0</v>
      </c>
      <c r="U126">
        <v>0</v>
      </c>
      <c r="W126" s="74" t="s">
        <v>682</v>
      </c>
      <c r="Z126" t="s">
        <v>400</v>
      </c>
      <c r="AC126" s="74" t="s">
        <v>787</v>
      </c>
      <c r="AD126" t="s">
        <v>798</v>
      </c>
      <c r="AE126" s="75" t="str">
        <f>HYPERLINK("https://twitter.com/enirositaa/status/1561121868098068480")</f>
        <v>https://twitter.com/enirositaa/status/1561121868098068480</v>
      </c>
      <c r="AF126" s="73">
        <v>44793.94712962963</v>
      </c>
      <c r="AG126" s="77">
        <v>44793</v>
      </c>
      <c r="AH126" s="74" t="s">
        <v>894</v>
      </c>
      <c r="AV126" s="75" t="str">
        <f>HYPERLINK("https://pbs.twimg.com/profile_images/1728903111551647744/X7Of6-hz_normal.jpg")</f>
        <v>https://pbs.twimg.com/profile_images/1728903111551647744/X7Of6-hz_normal.jpg</v>
      </c>
      <c r="AW126" s="74" t="s">
        <v>1115</v>
      </c>
      <c r="AX126" s="74" t="s">
        <v>1282</v>
      </c>
      <c r="AY126" s="74" t="s">
        <v>1358</v>
      </c>
      <c r="AZ126" s="74" t="s">
        <v>1282</v>
      </c>
      <c r="BA126" s="74" t="s">
        <v>1384</v>
      </c>
      <c r="BB126" s="74" t="s">
        <v>1384</v>
      </c>
      <c r="BC126" s="74" t="s">
        <v>1282</v>
      </c>
      <c r="BD126">
        <v>453291086</v>
      </c>
      <c r="BJ126" s="44">
        <v>0</v>
      </c>
      <c r="BK126" s="45">
        <v>0</v>
      </c>
      <c r="BL126" s="44">
        <v>0</v>
      </c>
      <c r="BM126" s="45">
        <v>0</v>
      </c>
      <c r="BN126" s="44">
        <v>0</v>
      </c>
      <c r="BO126" s="45">
        <v>0</v>
      </c>
      <c r="BP126" s="44">
        <v>2</v>
      </c>
      <c r="BQ126" s="45">
        <v>100</v>
      </c>
      <c r="BR126" s="44">
        <v>2</v>
      </c>
      <c r="BS126">
        <v>1</v>
      </c>
      <c r="BT126" s="112" t="str">
        <f>REPLACE(INDEX(GroupVertices[Group],MATCH("~"&amp;Edges[[#This Row],[Vertex 1]],GroupVertices[Vertex],0)),1,1,"")</f>
        <v>15</v>
      </c>
      <c r="BU126" s="112" t="str">
        <f>REPLACE(INDEX(GroupVertices[Group],MATCH("~"&amp;Edges[[#This Row],[Vertex 2]],GroupVertices[Vertex],0)),1,1,"")</f>
        <v>15</v>
      </c>
    </row>
    <row r="127" spans="1:73" ht="15">
      <c r="A127" s="59" t="s">
        <v>276</v>
      </c>
      <c r="B127" s="59" t="s">
        <v>401</v>
      </c>
      <c r="C127" s="60"/>
      <c r="D127" s="61"/>
      <c r="E127" s="62"/>
      <c r="F127" s="63"/>
      <c r="G127" s="60"/>
      <c r="H127" s="64"/>
      <c r="I127" s="65"/>
      <c r="J127" s="65"/>
      <c r="K127" s="30" t="s">
        <v>65</v>
      </c>
      <c r="L127" s="72">
        <v>127</v>
      </c>
      <c r="M1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7" s="67"/>
      <c r="O127" t="s">
        <v>482</v>
      </c>
      <c r="P127" s="73">
        <v>44768.47734953704</v>
      </c>
      <c r="Q127" t="s">
        <v>581</v>
      </c>
      <c r="R127">
        <v>0</v>
      </c>
      <c r="S127">
        <v>0</v>
      </c>
      <c r="T127">
        <v>0</v>
      </c>
      <c r="U127">
        <v>0</v>
      </c>
      <c r="Z127" t="s">
        <v>401</v>
      </c>
      <c r="AC127" s="74" t="s">
        <v>787</v>
      </c>
      <c r="AD127" t="s">
        <v>794</v>
      </c>
      <c r="AE127" s="75" t="str">
        <f>HYPERLINK("https://twitter.com/nfatqi/status/1551891930619019266")</f>
        <v>https://twitter.com/nfatqi/status/1551891930619019266</v>
      </c>
      <c r="AF127" s="73">
        <v>44768.47734953704</v>
      </c>
      <c r="AG127" s="77">
        <v>44768</v>
      </c>
      <c r="AH127" s="74" t="s">
        <v>895</v>
      </c>
      <c r="AV127" s="75" t="str">
        <f>HYPERLINK("https://pbs.twimg.com/profile_images/1215556700788289537/Zxt1Ktw7_normal.jpg")</f>
        <v>https://pbs.twimg.com/profile_images/1215556700788289537/Zxt1Ktw7_normal.jpg</v>
      </c>
      <c r="AW127" s="74" t="s">
        <v>1116</v>
      </c>
      <c r="AX127" s="74" t="s">
        <v>1283</v>
      </c>
      <c r="AY127" s="74" t="s">
        <v>1359</v>
      </c>
      <c r="AZ127" s="74" t="s">
        <v>1283</v>
      </c>
      <c r="BA127" s="74" t="s">
        <v>1384</v>
      </c>
      <c r="BB127" s="74" t="s">
        <v>1384</v>
      </c>
      <c r="BC127" s="74" t="s">
        <v>1283</v>
      </c>
      <c r="BD127" s="74" t="s">
        <v>1439</v>
      </c>
      <c r="BJ127" s="44">
        <v>3</v>
      </c>
      <c r="BK127" s="45">
        <v>75</v>
      </c>
      <c r="BL127" s="44">
        <v>0</v>
      </c>
      <c r="BM127" s="45">
        <v>0</v>
      </c>
      <c r="BN127" s="44">
        <v>0</v>
      </c>
      <c r="BO127" s="45">
        <v>0</v>
      </c>
      <c r="BP127" s="44">
        <v>1</v>
      </c>
      <c r="BQ127" s="45">
        <v>25</v>
      </c>
      <c r="BR127" s="44">
        <v>4</v>
      </c>
      <c r="BS127">
        <v>1</v>
      </c>
      <c r="BT127" s="112" t="str">
        <f>REPLACE(INDEX(GroupVertices[Group],MATCH("~"&amp;Edges[[#This Row],[Vertex 1]],GroupVertices[Vertex],0)),1,1,"")</f>
        <v>27</v>
      </c>
      <c r="BU127" s="112" t="str">
        <f>REPLACE(INDEX(GroupVertices[Group],MATCH("~"&amp;Edges[[#This Row],[Vertex 2]],GroupVertices[Vertex],0)),1,1,"")</f>
        <v>27</v>
      </c>
    </row>
    <row r="128" spans="1:73" ht="15">
      <c r="A128" s="59" t="s">
        <v>277</v>
      </c>
      <c r="B128" s="59" t="s">
        <v>402</v>
      </c>
      <c r="C128" s="60"/>
      <c r="D128" s="61"/>
      <c r="E128" s="62"/>
      <c r="F128" s="63"/>
      <c r="G128" s="60"/>
      <c r="H128" s="64"/>
      <c r="I128" s="65"/>
      <c r="J128" s="65"/>
      <c r="K128" s="30" t="s">
        <v>65</v>
      </c>
      <c r="L128" s="72">
        <v>128</v>
      </c>
      <c r="M1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8" s="67"/>
      <c r="O128" t="s">
        <v>483</v>
      </c>
      <c r="P128" s="73">
        <v>44553.29200231482</v>
      </c>
      <c r="Q128" t="s">
        <v>582</v>
      </c>
      <c r="R128">
        <v>0</v>
      </c>
      <c r="S128">
        <v>0</v>
      </c>
      <c r="T128">
        <v>0</v>
      </c>
      <c r="U128">
        <v>0</v>
      </c>
      <c r="Z128" t="s">
        <v>745</v>
      </c>
      <c r="AC128" s="74" t="s">
        <v>787</v>
      </c>
      <c r="AD128" t="s">
        <v>794</v>
      </c>
      <c r="AE128" s="75" t="str">
        <f>HYPERLINK("https://twitter.com/hasan_rosadi/status/1473911373255958528")</f>
        <v>https://twitter.com/hasan_rosadi/status/1473911373255958528</v>
      </c>
      <c r="AF128" s="73">
        <v>44553.29200231482</v>
      </c>
      <c r="AG128" s="77">
        <v>44553</v>
      </c>
      <c r="AH128" s="74" t="s">
        <v>896</v>
      </c>
      <c r="AV128" s="75" t="str">
        <f>HYPERLINK("https://pbs.twimg.com/profile_images/1456664684006821896/pcmqbuw1_normal.jpg")</f>
        <v>https://pbs.twimg.com/profile_images/1456664684006821896/pcmqbuw1_normal.jpg</v>
      </c>
      <c r="AW128" s="74" t="s">
        <v>1117</v>
      </c>
      <c r="AX128" s="74" t="s">
        <v>1284</v>
      </c>
      <c r="AY128" s="74" t="s">
        <v>1360</v>
      </c>
      <c r="AZ128" s="74" t="s">
        <v>1284</v>
      </c>
      <c r="BA128" s="74" t="s">
        <v>1384</v>
      </c>
      <c r="BB128" s="74" t="s">
        <v>1384</v>
      </c>
      <c r="BC128" s="74" t="s">
        <v>1284</v>
      </c>
      <c r="BD128">
        <v>232178767</v>
      </c>
      <c r="BJ128" s="44"/>
      <c r="BK128" s="45"/>
      <c r="BL128" s="44"/>
      <c r="BM128" s="45"/>
      <c r="BN128" s="44"/>
      <c r="BO128" s="45"/>
      <c r="BP128" s="44"/>
      <c r="BQ128" s="45"/>
      <c r="BR128" s="44"/>
      <c r="BS128">
        <v>1</v>
      </c>
      <c r="BT128" s="112" t="str">
        <f>REPLACE(INDEX(GroupVertices[Group],MATCH("~"&amp;Edges[[#This Row],[Vertex 1]],GroupVertices[Vertex],0)),1,1,"")</f>
        <v>20</v>
      </c>
      <c r="BU128" s="112" t="str">
        <f>REPLACE(INDEX(GroupVertices[Group],MATCH("~"&amp;Edges[[#This Row],[Vertex 2]],GroupVertices[Vertex],0)),1,1,"")</f>
        <v>20</v>
      </c>
    </row>
    <row r="129" spans="1:73" ht="15">
      <c r="A129" s="59" t="s">
        <v>277</v>
      </c>
      <c r="B129" s="59" t="s">
        <v>403</v>
      </c>
      <c r="C129" s="60"/>
      <c r="D129" s="61"/>
      <c r="E129" s="62"/>
      <c r="F129" s="63"/>
      <c r="G129" s="60"/>
      <c r="H129" s="64"/>
      <c r="I129" s="65"/>
      <c r="J129" s="65"/>
      <c r="K129" s="30" t="s">
        <v>65</v>
      </c>
      <c r="L129" s="72">
        <v>129</v>
      </c>
      <c r="M1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9" s="67"/>
      <c r="O129" t="s">
        <v>482</v>
      </c>
      <c r="P129" s="73">
        <v>44553.29200231482</v>
      </c>
      <c r="Q129" t="s">
        <v>582</v>
      </c>
      <c r="R129">
        <v>0</v>
      </c>
      <c r="S129">
        <v>0</v>
      </c>
      <c r="T129">
        <v>0</v>
      </c>
      <c r="U129">
        <v>0</v>
      </c>
      <c r="Z129" t="s">
        <v>745</v>
      </c>
      <c r="AC129" s="74" t="s">
        <v>787</v>
      </c>
      <c r="AD129" t="s">
        <v>794</v>
      </c>
      <c r="AE129" s="75" t="str">
        <f>HYPERLINK("https://twitter.com/hasan_rosadi/status/1473911373255958528")</f>
        <v>https://twitter.com/hasan_rosadi/status/1473911373255958528</v>
      </c>
      <c r="AF129" s="73">
        <v>44553.29200231482</v>
      </c>
      <c r="AG129" s="77">
        <v>44553</v>
      </c>
      <c r="AH129" s="74" t="s">
        <v>896</v>
      </c>
      <c r="AV129" s="75" t="str">
        <f>HYPERLINK("https://pbs.twimg.com/profile_images/1456664684006821896/pcmqbuw1_normal.jpg")</f>
        <v>https://pbs.twimg.com/profile_images/1456664684006821896/pcmqbuw1_normal.jpg</v>
      </c>
      <c r="AW129" s="74" t="s">
        <v>1117</v>
      </c>
      <c r="AX129" s="74" t="s">
        <v>1284</v>
      </c>
      <c r="AY129" s="74" t="s">
        <v>1360</v>
      </c>
      <c r="AZ129" s="74" t="s">
        <v>1284</v>
      </c>
      <c r="BA129" s="74" t="s">
        <v>1384</v>
      </c>
      <c r="BB129" s="74" t="s">
        <v>1384</v>
      </c>
      <c r="BC129" s="74" t="s">
        <v>1284</v>
      </c>
      <c r="BD129">
        <v>232178767</v>
      </c>
      <c r="BJ129" s="44">
        <v>4</v>
      </c>
      <c r="BK129" s="45">
        <v>20</v>
      </c>
      <c r="BL129" s="44">
        <v>0</v>
      </c>
      <c r="BM129" s="45">
        <v>0</v>
      </c>
      <c r="BN129" s="44">
        <v>0</v>
      </c>
      <c r="BO129" s="45">
        <v>0</v>
      </c>
      <c r="BP129" s="44">
        <v>16</v>
      </c>
      <c r="BQ129" s="45">
        <v>80</v>
      </c>
      <c r="BR129" s="44">
        <v>20</v>
      </c>
      <c r="BS129">
        <v>1</v>
      </c>
      <c r="BT129" s="112" t="str">
        <f>REPLACE(INDEX(GroupVertices[Group],MATCH("~"&amp;Edges[[#This Row],[Vertex 1]],GroupVertices[Vertex],0)),1,1,"")</f>
        <v>20</v>
      </c>
      <c r="BU129" s="112" t="str">
        <f>REPLACE(INDEX(GroupVertices[Group],MATCH("~"&amp;Edges[[#This Row],[Vertex 2]],GroupVertices[Vertex],0)),1,1,"")</f>
        <v>20</v>
      </c>
    </row>
    <row r="130" spans="1:73" ht="15">
      <c r="A130" s="59" t="s">
        <v>278</v>
      </c>
      <c r="B130" s="59" t="s">
        <v>341</v>
      </c>
      <c r="C130" s="60"/>
      <c r="D130" s="61"/>
      <c r="E130" s="62"/>
      <c r="F130" s="63"/>
      <c r="G130" s="60"/>
      <c r="H130" s="64"/>
      <c r="I130" s="65"/>
      <c r="J130" s="65"/>
      <c r="K130" s="30" t="s">
        <v>65</v>
      </c>
      <c r="L130" s="72">
        <v>130</v>
      </c>
      <c r="M1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0" s="67"/>
      <c r="O130" t="s">
        <v>484</v>
      </c>
      <c r="P130" s="73">
        <v>44572.5255787037</v>
      </c>
      <c r="Q130" t="s">
        <v>583</v>
      </c>
      <c r="R130">
        <v>0</v>
      </c>
      <c r="S130">
        <v>0</v>
      </c>
      <c r="T130">
        <v>0</v>
      </c>
      <c r="U130">
        <v>0</v>
      </c>
      <c r="AC130" s="74" t="s">
        <v>787</v>
      </c>
      <c r="AD130" t="s">
        <v>794</v>
      </c>
      <c r="AE130" s="75" t="str">
        <f>HYPERLINK("https://twitter.com/ucoxregar/status/1480881385283809282")</f>
        <v>https://twitter.com/ucoxregar/status/1480881385283809282</v>
      </c>
      <c r="AF130" s="73">
        <v>44572.5255787037</v>
      </c>
      <c r="AG130" s="77">
        <v>44572</v>
      </c>
      <c r="AH130" s="74" t="s">
        <v>897</v>
      </c>
      <c r="AV130" s="75" t="str">
        <f>HYPERLINK("https://pbs.twimg.com/profile_images/1718618960466415617/yCO718Gu_normal.jpg")</f>
        <v>https://pbs.twimg.com/profile_images/1718618960466415617/yCO718Gu_normal.jpg</v>
      </c>
      <c r="AW130" s="74" t="s">
        <v>1118</v>
      </c>
      <c r="AX130" s="74" t="s">
        <v>1118</v>
      </c>
      <c r="AZ130" s="74" t="s">
        <v>1384</v>
      </c>
      <c r="BA130" s="74" t="s">
        <v>1222</v>
      </c>
      <c r="BB130" s="74" t="s">
        <v>1384</v>
      </c>
      <c r="BC130" s="74" t="s">
        <v>1222</v>
      </c>
      <c r="BD130" s="74" t="s">
        <v>1440</v>
      </c>
      <c r="BJ130" s="44">
        <v>3</v>
      </c>
      <c r="BK130" s="45">
        <v>100</v>
      </c>
      <c r="BL130" s="44">
        <v>0</v>
      </c>
      <c r="BM130" s="45">
        <v>0</v>
      </c>
      <c r="BN130" s="44">
        <v>0</v>
      </c>
      <c r="BO130" s="45">
        <v>0</v>
      </c>
      <c r="BP130" s="44">
        <v>0</v>
      </c>
      <c r="BQ130" s="45">
        <v>0</v>
      </c>
      <c r="BR130" s="44">
        <v>3</v>
      </c>
      <c r="BS130">
        <v>1</v>
      </c>
      <c r="BT130" s="112" t="str">
        <f>REPLACE(INDEX(GroupVertices[Group],MATCH("~"&amp;Edges[[#This Row],[Vertex 1]],GroupVertices[Vertex],0)),1,1,"")</f>
        <v>6</v>
      </c>
      <c r="BU130" s="112" t="str">
        <f>REPLACE(INDEX(GroupVertices[Group],MATCH("~"&amp;Edges[[#This Row],[Vertex 2]],GroupVertices[Vertex],0)),1,1,"")</f>
        <v>6</v>
      </c>
    </row>
    <row r="131" spans="1:73" ht="15">
      <c r="A131" s="59" t="s">
        <v>279</v>
      </c>
      <c r="B131" s="59" t="s">
        <v>404</v>
      </c>
      <c r="C131" s="60"/>
      <c r="D131" s="61"/>
      <c r="E131" s="62"/>
      <c r="F131" s="63"/>
      <c r="G131" s="60"/>
      <c r="H131" s="64"/>
      <c r="I131" s="65"/>
      <c r="J131" s="65"/>
      <c r="K131" s="30" t="s">
        <v>65</v>
      </c>
      <c r="L131" s="72">
        <v>131</v>
      </c>
      <c r="M1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1" s="67"/>
      <c r="O131" t="s">
        <v>482</v>
      </c>
      <c r="P131" s="73">
        <v>44850.56978009259</v>
      </c>
      <c r="Q131" t="s">
        <v>584</v>
      </c>
      <c r="R131">
        <v>0</v>
      </c>
      <c r="S131">
        <v>0</v>
      </c>
      <c r="T131">
        <v>0</v>
      </c>
      <c r="U131">
        <v>0</v>
      </c>
      <c r="Z131" t="s">
        <v>404</v>
      </c>
      <c r="AC131" s="74" t="s">
        <v>787</v>
      </c>
      <c r="AD131" t="s">
        <v>794</v>
      </c>
      <c r="AE131" s="75" t="str">
        <f>HYPERLINK("https://twitter.com/salam_santun/status/1581641229728886789")</f>
        <v>https://twitter.com/salam_santun/status/1581641229728886789</v>
      </c>
      <c r="AF131" s="73">
        <v>44850.56978009259</v>
      </c>
      <c r="AG131" s="77">
        <v>44850</v>
      </c>
      <c r="AH131" s="74" t="s">
        <v>898</v>
      </c>
      <c r="AV131" s="75" t="str">
        <f>HYPERLINK("https://pbs.twimg.com/profile_images/1622508599758188544/gYjVd1Sc_normal.jpg")</f>
        <v>https://pbs.twimg.com/profile_images/1622508599758188544/gYjVd1Sc_normal.jpg</v>
      </c>
      <c r="AW131" s="74" t="s">
        <v>1119</v>
      </c>
      <c r="AX131" s="74" t="s">
        <v>1285</v>
      </c>
      <c r="AY131" s="74" t="s">
        <v>1361</v>
      </c>
      <c r="AZ131" s="74" t="s">
        <v>1285</v>
      </c>
      <c r="BA131" s="74" t="s">
        <v>1384</v>
      </c>
      <c r="BB131" s="74" t="s">
        <v>1384</v>
      </c>
      <c r="BC131" s="74" t="s">
        <v>1285</v>
      </c>
      <c r="BD131" s="74" t="s">
        <v>1441</v>
      </c>
      <c r="BJ131" s="44">
        <v>3</v>
      </c>
      <c r="BK131" s="45">
        <v>21.428571428571427</v>
      </c>
      <c r="BL131" s="44">
        <v>0</v>
      </c>
      <c r="BM131" s="45">
        <v>0</v>
      </c>
      <c r="BN131" s="44">
        <v>0</v>
      </c>
      <c r="BO131" s="45">
        <v>0</v>
      </c>
      <c r="BP131" s="44">
        <v>11</v>
      </c>
      <c r="BQ131" s="45">
        <v>78.57142857142857</v>
      </c>
      <c r="BR131" s="44">
        <v>14</v>
      </c>
      <c r="BS131">
        <v>1</v>
      </c>
      <c r="BT131" s="112" t="str">
        <f>REPLACE(INDEX(GroupVertices[Group],MATCH("~"&amp;Edges[[#This Row],[Vertex 1]],GroupVertices[Vertex],0)),1,1,"")</f>
        <v>28</v>
      </c>
      <c r="BU131" s="112" t="str">
        <f>REPLACE(INDEX(GroupVertices[Group],MATCH("~"&amp;Edges[[#This Row],[Vertex 2]],GroupVertices[Vertex],0)),1,1,"")</f>
        <v>28</v>
      </c>
    </row>
    <row r="132" spans="1:73" ht="15">
      <c r="A132" s="59" t="s">
        <v>280</v>
      </c>
      <c r="B132" s="59" t="s">
        <v>341</v>
      </c>
      <c r="C132" s="60"/>
      <c r="D132" s="61"/>
      <c r="E132" s="62"/>
      <c r="F132" s="63"/>
      <c r="G132" s="60"/>
      <c r="H132" s="64"/>
      <c r="I132" s="65"/>
      <c r="J132" s="65"/>
      <c r="K132" s="30" t="s">
        <v>65</v>
      </c>
      <c r="L132" s="72">
        <v>132</v>
      </c>
      <c r="M1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2" s="67"/>
      <c r="O132" t="s">
        <v>482</v>
      </c>
      <c r="P132" s="73">
        <v>44578.351435185185</v>
      </c>
      <c r="Q132" t="s">
        <v>585</v>
      </c>
      <c r="R132">
        <v>0</v>
      </c>
      <c r="S132">
        <v>0</v>
      </c>
      <c r="T132">
        <v>0</v>
      </c>
      <c r="U132">
        <v>0</v>
      </c>
      <c r="Z132" t="s">
        <v>341</v>
      </c>
      <c r="AC132" s="74" t="s">
        <v>787</v>
      </c>
      <c r="AD132" t="s">
        <v>794</v>
      </c>
      <c r="AE132" s="75" t="str">
        <f>HYPERLINK("https://twitter.com/esupriatna20/status/1482992605289799680")</f>
        <v>https://twitter.com/esupriatna20/status/1482992605289799680</v>
      </c>
      <c r="AF132" s="73">
        <v>44578.351435185185</v>
      </c>
      <c r="AG132" s="77">
        <v>44578</v>
      </c>
      <c r="AH132" s="74" t="s">
        <v>899</v>
      </c>
      <c r="AV132" s="75" t="str">
        <f>HYPERLINK("https://pbs.twimg.com/profile_images/1341577639702659072/fJ_5NTff_normal.jpg")</f>
        <v>https://pbs.twimg.com/profile_images/1341577639702659072/fJ_5NTff_normal.jpg</v>
      </c>
      <c r="AW132" s="74" t="s">
        <v>1120</v>
      </c>
      <c r="AX132" s="74" t="s">
        <v>1252</v>
      </c>
      <c r="AY132" s="74" t="s">
        <v>1328</v>
      </c>
      <c r="AZ132" s="74" t="s">
        <v>1252</v>
      </c>
      <c r="BA132" s="74" t="s">
        <v>1384</v>
      </c>
      <c r="BB132" s="74" t="s">
        <v>1384</v>
      </c>
      <c r="BC132" s="74" t="s">
        <v>1252</v>
      </c>
      <c r="BD132" s="74" t="s">
        <v>1442</v>
      </c>
      <c r="BJ132" s="44">
        <v>3</v>
      </c>
      <c r="BK132" s="45">
        <v>75</v>
      </c>
      <c r="BL132" s="44">
        <v>0</v>
      </c>
      <c r="BM132" s="45">
        <v>0</v>
      </c>
      <c r="BN132" s="44">
        <v>0</v>
      </c>
      <c r="BO132" s="45">
        <v>0</v>
      </c>
      <c r="BP132" s="44">
        <v>1</v>
      </c>
      <c r="BQ132" s="45">
        <v>25</v>
      </c>
      <c r="BR132" s="44">
        <v>4</v>
      </c>
      <c r="BS132">
        <v>1</v>
      </c>
      <c r="BT132" s="112" t="str">
        <f>REPLACE(INDEX(GroupVertices[Group],MATCH("~"&amp;Edges[[#This Row],[Vertex 1]],GroupVertices[Vertex],0)),1,1,"")</f>
        <v>12</v>
      </c>
      <c r="BU132" s="112" t="str">
        <f>REPLACE(INDEX(GroupVertices[Group],MATCH("~"&amp;Edges[[#This Row],[Vertex 2]],GroupVertices[Vertex],0)),1,1,"")</f>
        <v>6</v>
      </c>
    </row>
    <row r="133" spans="1:73" ht="15">
      <c r="A133" s="59" t="s">
        <v>280</v>
      </c>
      <c r="B133" s="59" t="s">
        <v>339</v>
      </c>
      <c r="C133" s="60"/>
      <c r="D133" s="61"/>
      <c r="E133" s="62"/>
      <c r="F133" s="63"/>
      <c r="G133" s="60"/>
      <c r="H133" s="64"/>
      <c r="I133" s="65"/>
      <c r="J133" s="65"/>
      <c r="K133" s="30" t="s">
        <v>65</v>
      </c>
      <c r="L133" s="72">
        <v>133</v>
      </c>
      <c r="M1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3" s="67"/>
      <c r="O133" t="s">
        <v>482</v>
      </c>
      <c r="P133" s="73">
        <v>44569.52217592593</v>
      </c>
      <c r="Q133" t="s">
        <v>586</v>
      </c>
      <c r="R133">
        <v>0</v>
      </c>
      <c r="S133">
        <v>0</v>
      </c>
      <c r="T133">
        <v>0</v>
      </c>
      <c r="U133">
        <v>0</v>
      </c>
      <c r="Z133" t="s">
        <v>339</v>
      </c>
      <c r="AC133" s="74" t="s">
        <v>787</v>
      </c>
      <c r="AD133" t="s">
        <v>794</v>
      </c>
      <c r="AE133" s="75" t="str">
        <f>HYPERLINK("https://twitter.com/esupriatna20/status/1479792989702524932")</f>
        <v>https://twitter.com/esupriatna20/status/1479792989702524932</v>
      </c>
      <c r="AF133" s="73">
        <v>44569.52217592593</v>
      </c>
      <c r="AG133" s="77">
        <v>44569</v>
      </c>
      <c r="AH133" s="74" t="s">
        <v>900</v>
      </c>
      <c r="AV133" s="75" t="str">
        <f>HYPERLINK("https://pbs.twimg.com/profile_images/1341577639702659072/fJ_5NTff_normal.jpg")</f>
        <v>https://pbs.twimg.com/profile_images/1341577639702659072/fJ_5NTff_normal.jpg</v>
      </c>
      <c r="AW133" s="74" t="s">
        <v>1121</v>
      </c>
      <c r="AX133" s="74" t="s">
        <v>1286</v>
      </c>
      <c r="AY133" s="74" t="s">
        <v>1324</v>
      </c>
      <c r="AZ133" s="74" t="s">
        <v>1286</v>
      </c>
      <c r="BA133" s="74" t="s">
        <v>1384</v>
      </c>
      <c r="BB133" s="74" t="s">
        <v>1384</v>
      </c>
      <c r="BC133" s="74" t="s">
        <v>1286</v>
      </c>
      <c r="BD133" s="74" t="s">
        <v>1442</v>
      </c>
      <c r="BJ133" s="44">
        <v>5</v>
      </c>
      <c r="BK133" s="45">
        <v>41.666666666666664</v>
      </c>
      <c r="BL133" s="44">
        <v>0</v>
      </c>
      <c r="BM133" s="45">
        <v>0</v>
      </c>
      <c r="BN133" s="44">
        <v>0</v>
      </c>
      <c r="BO133" s="45">
        <v>0</v>
      </c>
      <c r="BP133" s="44">
        <v>7</v>
      </c>
      <c r="BQ133" s="45">
        <v>58.333333333333336</v>
      </c>
      <c r="BR133" s="44">
        <v>12</v>
      </c>
      <c r="BS133">
        <v>8</v>
      </c>
      <c r="BT133" s="112" t="str">
        <f>REPLACE(INDEX(GroupVertices[Group],MATCH("~"&amp;Edges[[#This Row],[Vertex 1]],GroupVertices[Vertex],0)),1,1,"")</f>
        <v>12</v>
      </c>
      <c r="BU133" s="112" t="str">
        <f>REPLACE(INDEX(GroupVertices[Group],MATCH("~"&amp;Edges[[#This Row],[Vertex 2]],GroupVertices[Vertex],0)),1,1,"")</f>
        <v>12</v>
      </c>
    </row>
    <row r="134" spans="1:73" ht="15">
      <c r="A134" s="59" t="s">
        <v>281</v>
      </c>
      <c r="B134" s="59" t="s">
        <v>281</v>
      </c>
      <c r="C134" s="60"/>
      <c r="D134" s="61"/>
      <c r="E134" s="62"/>
      <c r="F134" s="63"/>
      <c r="G134" s="60"/>
      <c r="H134" s="64"/>
      <c r="I134" s="65"/>
      <c r="J134" s="65"/>
      <c r="K134" s="30" t="s">
        <v>65</v>
      </c>
      <c r="L134" s="72">
        <v>134</v>
      </c>
      <c r="M1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4" s="67"/>
      <c r="O134" t="s">
        <v>177</v>
      </c>
      <c r="P134" s="73">
        <v>44587.382893518516</v>
      </c>
      <c r="Q134" t="s">
        <v>587</v>
      </c>
      <c r="R134">
        <v>39</v>
      </c>
      <c r="S134">
        <v>98</v>
      </c>
      <c r="T134">
        <v>2</v>
      </c>
      <c r="U134">
        <v>2</v>
      </c>
      <c r="AA134" t="s">
        <v>771</v>
      </c>
      <c r="AB134" t="s">
        <v>784</v>
      </c>
      <c r="AC134" s="74" t="s">
        <v>787</v>
      </c>
      <c r="AD134" t="s">
        <v>794</v>
      </c>
      <c r="AE134" s="75" t="str">
        <f>HYPERLINK("https://twitter.com/lovelyb1e/status/1486265497721372672")</f>
        <v>https://twitter.com/lovelyb1e/status/1486265497721372672</v>
      </c>
      <c r="AF134" s="73">
        <v>44587.382893518516</v>
      </c>
      <c r="AG134" s="77">
        <v>44587</v>
      </c>
      <c r="AH134" s="74" t="s">
        <v>901</v>
      </c>
      <c r="AI134" t="b">
        <v>0</v>
      </c>
      <c r="AQ134" t="s">
        <v>1009</v>
      </c>
      <c r="AR134">
        <v>139483</v>
      </c>
      <c r="AV134" s="75" t="str">
        <f>HYPERLINK("https://pbs.twimg.com/ext_tw_video_thumb/1486265258822213632/pu/img/qCR7AyrOm0XJjBNj.jpg")</f>
        <v>https://pbs.twimg.com/ext_tw_video_thumb/1486265258822213632/pu/img/qCR7AyrOm0XJjBNj.jpg</v>
      </c>
      <c r="AW134" s="74" t="s">
        <v>1122</v>
      </c>
      <c r="AX134" s="74" t="s">
        <v>1122</v>
      </c>
      <c r="AZ134" s="74" t="s">
        <v>1384</v>
      </c>
      <c r="BA134" s="74" t="s">
        <v>1384</v>
      </c>
      <c r="BB134" s="74" t="s">
        <v>1384</v>
      </c>
      <c r="BC134" s="74" t="s">
        <v>1122</v>
      </c>
      <c r="BD134" s="74" t="s">
        <v>1443</v>
      </c>
      <c r="BJ134" s="44">
        <v>3</v>
      </c>
      <c r="BK134" s="45">
        <v>10</v>
      </c>
      <c r="BL134" s="44">
        <v>0</v>
      </c>
      <c r="BM134" s="45">
        <v>0</v>
      </c>
      <c r="BN134" s="44">
        <v>0</v>
      </c>
      <c r="BO134" s="45">
        <v>0</v>
      </c>
      <c r="BP134" s="44">
        <v>27</v>
      </c>
      <c r="BQ134" s="45">
        <v>90</v>
      </c>
      <c r="BR134" s="44">
        <v>30</v>
      </c>
      <c r="BS134">
        <v>1</v>
      </c>
      <c r="BT134" s="112" t="str">
        <f>REPLACE(INDEX(GroupVertices[Group],MATCH("~"&amp;Edges[[#This Row],[Vertex 1]],GroupVertices[Vertex],0)),1,1,"")</f>
        <v>41</v>
      </c>
      <c r="BU134" s="112" t="str">
        <f>REPLACE(INDEX(GroupVertices[Group],MATCH("~"&amp;Edges[[#This Row],[Vertex 2]],GroupVertices[Vertex],0)),1,1,"")</f>
        <v>41</v>
      </c>
    </row>
    <row r="135" spans="1:73" ht="15">
      <c r="A135" s="59" t="s">
        <v>282</v>
      </c>
      <c r="B135" s="59" t="s">
        <v>405</v>
      </c>
      <c r="C135" s="60"/>
      <c r="D135" s="61"/>
      <c r="E135" s="62"/>
      <c r="F135" s="63"/>
      <c r="G135" s="60"/>
      <c r="H135" s="64"/>
      <c r="I135" s="65"/>
      <c r="J135" s="65"/>
      <c r="K135" s="30" t="s">
        <v>65</v>
      </c>
      <c r="L135" s="72">
        <v>135</v>
      </c>
      <c r="M1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5" s="67"/>
      <c r="O135" t="s">
        <v>483</v>
      </c>
      <c r="P135" s="73">
        <v>44890.66899305556</v>
      </c>
      <c r="Q135" t="s">
        <v>588</v>
      </c>
      <c r="R135">
        <v>0</v>
      </c>
      <c r="S135">
        <v>0</v>
      </c>
      <c r="T135">
        <v>0</v>
      </c>
      <c r="U135">
        <v>0</v>
      </c>
      <c r="W135" s="74" t="s">
        <v>694</v>
      </c>
      <c r="Z135" t="s">
        <v>746</v>
      </c>
      <c r="AC135" s="74" t="s">
        <v>787</v>
      </c>
      <c r="AD135" t="s">
        <v>794</v>
      </c>
      <c r="AE135" s="75" t="str">
        <f>HYPERLINK("https://twitter.com/reihan_djaya/status/1596172699813879808")</f>
        <v>https://twitter.com/reihan_djaya/status/1596172699813879808</v>
      </c>
      <c r="AF135" s="73">
        <v>44890.66899305556</v>
      </c>
      <c r="AG135" s="77">
        <v>44890</v>
      </c>
      <c r="AH135" s="74" t="s">
        <v>902</v>
      </c>
      <c r="AV135" s="75" t="str">
        <f>HYPERLINK("https://pbs.twimg.com/profile_images/1627012577229438976/zWpj0NFt_normal.jpg")</f>
        <v>https://pbs.twimg.com/profile_images/1627012577229438976/zWpj0NFt_normal.jpg</v>
      </c>
      <c r="AW135" s="74" t="s">
        <v>1123</v>
      </c>
      <c r="AX135" s="74" t="s">
        <v>1287</v>
      </c>
      <c r="AY135" s="74" t="s">
        <v>1362</v>
      </c>
      <c r="AZ135" s="74" t="s">
        <v>1287</v>
      </c>
      <c r="BA135" s="74" t="s">
        <v>1384</v>
      </c>
      <c r="BB135" s="74" t="s">
        <v>1384</v>
      </c>
      <c r="BC135" s="74" t="s">
        <v>1287</v>
      </c>
      <c r="BD135" s="74" t="s">
        <v>1444</v>
      </c>
      <c r="BJ135" s="44"/>
      <c r="BK135" s="45"/>
      <c r="BL135" s="44"/>
      <c r="BM135" s="45"/>
      <c r="BN135" s="44"/>
      <c r="BO135" s="45"/>
      <c r="BP135" s="44"/>
      <c r="BQ135" s="45"/>
      <c r="BR135" s="44"/>
      <c r="BS135">
        <v>1</v>
      </c>
      <c r="BT135" s="112" t="str">
        <f>REPLACE(INDEX(GroupVertices[Group],MATCH("~"&amp;Edges[[#This Row],[Vertex 1]],GroupVertices[Vertex],0)),1,1,"")</f>
        <v>24</v>
      </c>
      <c r="BU135" s="112" t="str">
        <f>REPLACE(INDEX(GroupVertices[Group],MATCH("~"&amp;Edges[[#This Row],[Vertex 2]],GroupVertices[Vertex],0)),1,1,"")</f>
        <v>24</v>
      </c>
    </row>
    <row r="136" spans="1:73" ht="15">
      <c r="A136" s="59" t="s">
        <v>282</v>
      </c>
      <c r="B136" s="59" t="s">
        <v>406</v>
      </c>
      <c r="C136" s="60"/>
      <c r="D136" s="61"/>
      <c r="E136" s="62"/>
      <c r="F136" s="63"/>
      <c r="G136" s="60"/>
      <c r="H136" s="64"/>
      <c r="I136" s="65"/>
      <c r="J136" s="65"/>
      <c r="K136" s="30" t="s">
        <v>65</v>
      </c>
      <c r="L136" s="72">
        <v>136</v>
      </c>
      <c r="M1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6" s="67"/>
      <c r="O136" t="s">
        <v>482</v>
      </c>
      <c r="P136" s="73">
        <v>44890.66899305556</v>
      </c>
      <c r="Q136" t="s">
        <v>588</v>
      </c>
      <c r="R136">
        <v>0</v>
      </c>
      <c r="S136">
        <v>0</v>
      </c>
      <c r="T136">
        <v>0</v>
      </c>
      <c r="U136">
        <v>0</v>
      </c>
      <c r="W136" s="74" t="s">
        <v>694</v>
      </c>
      <c r="Z136" t="s">
        <v>746</v>
      </c>
      <c r="AC136" s="74" t="s">
        <v>787</v>
      </c>
      <c r="AD136" t="s">
        <v>794</v>
      </c>
      <c r="AE136" s="75" t="str">
        <f>HYPERLINK("https://twitter.com/reihan_djaya/status/1596172699813879808")</f>
        <v>https://twitter.com/reihan_djaya/status/1596172699813879808</v>
      </c>
      <c r="AF136" s="73">
        <v>44890.66899305556</v>
      </c>
      <c r="AG136" s="77">
        <v>44890</v>
      </c>
      <c r="AH136" s="74" t="s">
        <v>902</v>
      </c>
      <c r="AV136" s="75" t="str">
        <f>HYPERLINK("https://pbs.twimg.com/profile_images/1627012577229438976/zWpj0NFt_normal.jpg")</f>
        <v>https://pbs.twimg.com/profile_images/1627012577229438976/zWpj0NFt_normal.jpg</v>
      </c>
      <c r="AW136" s="74" t="s">
        <v>1123</v>
      </c>
      <c r="AX136" s="74" t="s">
        <v>1287</v>
      </c>
      <c r="AY136" s="74" t="s">
        <v>1362</v>
      </c>
      <c r="AZ136" s="74" t="s">
        <v>1287</v>
      </c>
      <c r="BA136" s="74" t="s">
        <v>1384</v>
      </c>
      <c r="BB136" s="74" t="s">
        <v>1384</v>
      </c>
      <c r="BC136" s="74" t="s">
        <v>1287</v>
      </c>
      <c r="BD136" s="74" t="s">
        <v>1444</v>
      </c>
      <c r="BJ136" s="44">
        <v>0</v>
      </c>
      <c r="BK136" s="45">
        <v>0</v>
      </c>
      <c r="BL136" s="44">
        <v>0</v>
      </c>
      <c r="BM136" s="45">
        <v>0</v>
      </c>
      <c r="BN136" s="44">
        <v>0</v>
      </c>
      <c r="BO136" s="45">
        <v>0</v>
      </c>
      <c r="BP136" s="44">
        <v>6</v>
      </c>
      <c r="BQ136" s="45">
        <v>100</v>
      </c>
      <c r="BR136" s="44">
        <v>6</v>
      </c>
      <c r="BS136">
        <v>1</v>
      </c>
      <c r="BT136" s="112" t="str">
        <f>REPLACE(INDEX(GroupVertices[Group],MATCH("~"&amp;Edges[[#This Row],[Vertex 1]],GroupVertices[Vertex],0)),1,1,"")</f>
        <v>24</v>
      </c>
      <c r="BU136" s="112" t="str">
        <f>REPLACE(INDEX(GroupVertices[Group],MATCH("~"&amp;Edges[[#This Row],[Vertex 2]],GroupVertices[Vertex],0)),1,1,"")</f>
        <v>24</v>
      </c>
    </row>
    <row r="137" spans="1:73" ht="15">
      <c r="A137" s="59" t="s">
        <v>283</v>
      </c>
      <c r="B137" s="59" t="s">
        <v>334</v>
      </c>
      <c r="C137" s="60"/>
      <c r="D137" s="61"/>
      <c r="E137" s="62"/>
      <c r="F137" s="63"/>
      <c r="G137" s="60"/>
      <c r="H137" s="64"/>
      <c r="I137" s="65"/>
      <c r="J137" s="65"/>
      <c r="K137" s="30" t="s">
        <v>65</v>
      </c>
      <c r="L137" s="72">
        <v>137</v>
      </c>
      <c r="M1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7" s="67"/>
      <c r="O137" t="s">
        <v>482</v>
      </c>
      <c r="P137" s="73">
        <v>44744.20626157407</v>
      </c>
      <c r="Q137" t="s">
        <v>589</v>
      </c>
      <c r="R137">
        <v>0</v>
      </c>
      <c r="S137">
        <v>0</v>
      </c>
      <c r="T137">
        <v>0</v>
      </c>
      <c r="U137">
        <v>0</v>
      </c>
      <c r="Z137" t="s">
        <v>334</v>
      </c>
      <c r="AC137" s="74" t="s">
        <v>787</v>
      </c>
      <c r="AD137" t="s">
        <v>794</v>
      </c>
      <c r="AE137" s="75" t="str">
        <f>HYPERLINK("https://twitter.com/slamet_24wiro/status/1543096380809310208")</f>
        <v>https://twitter.com/slamet_24wiro/status/1543096380809310208</v>
      </c>
      <c r="AF137" s="73">
        <v>44744.20626157407</v>
      </c>
      <c r="AG137" s="77">
        <v>44744</v>
      </c>
      <c r="AH137" s="74" t="s">
        <v>903</v>
      </c>
      <c r="AV137" s="75" t="str">
        <f>HYPERLINK("https://pbs.twimg.com/profile_images/1592850418349899776/6h41e7zV_normal.jpg")</f>
        <v>https://pbs.twimg.com/profile_images/1592850418349899776/6h41e7zV_normal.jpg</v>
      </c>
      <c r="AW137" s="74" t="s">
        <v>1124</v>
      </c>
      <c r="AX137" s="74" t="s">
        <v>1288</v>
      </c>
      <c r="AY137" s="74" t="s">
        <v>1327</v>
      </c>
      <c r="AZ137" s="74" t="s">
        <v>1288</v>
      </c>
      <c r="BA137" s="74" t="s">
        <v>1384</v>
      </c>
      <c r="BB137" s="74" t="s">
        <v>1384</v>
      </c>
      <c r="BC137" s="74" t="s">
        <v>1288</v>
      </c>
      <c r="BD137">
        <v>1417516794</v>
      </c>
      <c r="BJ137" s="44">
        <v>3</v>
      </c>
      <c r="BK137" s="45">
        <v>75</v>
      </c>
      <c r="BL137" s="44">
        <v>0</v>
      </c>
      <c r="BM137" s="45">
        <v>0</v>
      </c>
      <c r="BN137" s="44">
        <v>0</v>
      </c>
      <c r="BO137" s="45">
        <v>0</v>
      </c>
      <c r="BP137" s="44">
        <v>1</v>
      </c>
      <c r="BQ137" s="45">
        <v>25</v>
      </c>
      <c r="BR137" s="44">
        <v>4</v>
      </c>
      <c r="BS137">
        <v>1</v>
      </c>
      <c r="BT137" s="112" t="str">
        <f>REPLACE(INDEX(GroupVertices[Group],MATCH("~"&amp;Edges[[#This Row],[Vertex 1]],GroupVertices[Vertex],0)),1,1,"")</f>
        <v>4</v>
      </c>
      <c r="BU137" s="112" t="str">
        <f>REPLACE(INDEX(GroupVertices[Group],MATCH("~"&amp;Edges[[#This Row],[Vertex 2]],GroupVertices[Vertex],0)),1,1,"")</f>
        <v>4</v>
      </c>
    </row>
    <row r="138" spans="1:73" ht="15">
      <c r="A138" s="59" t="s">
        <v>284</v>
      </c>
      <c r="B138" s="59" t="s">
        <v>407</v>
      </c>
      <c r="C138" s="60"/>
      <c r="D138" s="61"/>
      <c r="E138" s="62"/>
      <c r="F138" s="63"/>
      <c r="G138" s="60"/>
      <c r="H138" s="64"/>
      <c r="I138" s="65"/>
      <c r="J138" s="65"/>
      <c r="K138" s="30" t="s">
        <v>65</v>
      </c>
      <c r="L138" s="72">
        <v>138</v>
      </c>
      <c r="M1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8" s="67"/>
      <c r="O138" t="s">
        <v>483</v>
      </c>
      <c r="P138" s="73">
        <v>44543.875543981485</v>
      </c>
      <c r="Q138" t="s">
        <v>590</v>
      </c>
      <c r="R138">
        <v>0</v>
      </c>
      <c r="S138">
        <v>0</v>
      </c>
      <c r="T138">
        <v>0</v>
      </c>
      <c r="U138">
        <v>0</v>
      </c>
      <c r="Z138" t="s">
        <v>747</v>
      </c>
      <c r="AC138" s="74" t="s">
        <v>787</v>
      </c>
      <c r="AD138" t="s">
        <v>794</v>
      </c>
      <c r="AE138" s="75" t="str">
        <f>HYPERLINK("https://twitter.com/hudsuharg/status/1470498960720920576")</f>
        <v>https://twitter.com/hudsuharg/status/1470498960720920576</v>
      </c>
      <c r="AF138" s="73">
        <v>44543.875543981485</v>
      </c>
      <c r="AG138" s="77">
        <v>44543</v>
      </c>
      <c r="AH138" s="74" t="s">
        <v>904</v>
      </c>
      <c r="AV138" s="75" t="str">
        <f>HYPERLINK("https://pbs.twimg.com/profile_images/787179474219511810/khs5nh5C_normal.jpg")</f>
        <v>https://pbs.twimg.com/profile_images/787179474219511810/khs5nh5C_normal.jpg</v>
      </c>
      <c r="AW138" s="74" t="s">
        <v>1125</v>
      </c>
      <c r="AX138" s="74" t="s">
        <v>1289</v>
      </c>
      <c r="AY138" s="74" t="s">
        <v>1363</v>
      </c>
      <c r="AZ138" s="74" t="s">
        <v>1289</v>
      </c>
      <c r="BA138" s="74" t="s">
        <v>1384</v>
      </c>
      <c r="BB138" s="74" t="s">
        <v>1384</v>
      </c>
      <c r="BC138" s="74" t="s">
        <v>1289</v>
      </c>
      <c r="BD138" s="74" t="s">
        <v>1445</v>
      </c>
      <c r="BJ138" s="44"/>
      <c r="BK138" s="45"/>
      <c r="BL138" s="44"/>
      <c r="BM138" s="45"/>
      <c r="BN138" s="44"/>
      <c r="BO138" s="45"/>
      <c r="BP138" s="44"/>
      <c r="BQ138" s="45"/>
      <c r="BR138" s="44"/>
      <c r="BS138">
        <v>1</v>
      </c>
      <c r="BT138" s="112" t="str">
        <f>REPLACE(INDEX(GroupVertices[Group],MATCH("~"&amp;Edges[[#This Row],[Vertex 1]],GroupVertices[Vertex],0)),1,1,"")</f>
        <v>2</v>
      </c>
      <c r="BU138" s="112" t="str">
        <f>REPLACE(INDEX(GroupVertices[Group],MATCH("~"&amp;Edges[[#This Row],[Vertex 2]],GroupVertices[Vertex],0)),1,1,"")</f>
        <v>2</v>
      </c>
    </row>
    <row r="139" spans="1:73" ht="15">
      <c r="A139" s="59" t="s">
        <v>284</v>
      </c>
      <c r="B139" s="59" t="s">
        <v>408</v>
      </c>
      <c r="C139" s="60"/>
      <c r="D139" s="61"/>
      <c r="E139" s="62"/>
      <c r="F139" s="63"/>
      <c r="G139" s="60"/>
      <c r="H139" s="64"/>
      <c r="I139" s="65"/>
      <c r="J139" s="65"/>
      <c r="K139" s="30" t="s">
        <v>65</v>
      </c>
      <c r="L139" s="72">
        <v>139</v>
      </c>
      <c r="M1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9" s="67"/>
      <c r="O139" t="s">
        <v>483</v>
      </c>
      <c r="P139" s="73">
        <v>44543.875543981485</v>
      </c>
      <c r="Q139" t="s">
        <v>590</v>
      </c>
      <c r="R139">
        <v>0</v>
      </c>
      <c r="S139">
        <v>0</v>
      </c>
      <c r="T139">
        <v>0</v>
      </c>
      <c r="U139">
        <v>0</v>
      </c>
      <c r="Z139" t="s">
        <v>747</v>
      </c>
      <c r="AC139" s="74" t="s">
        <v>787</v>
      </c>
      <c r="AD139" t="s">
        <v>794</v>
      </c>
      <c r="AE139" s="75" t="str">
        <f>HYPERLINK("https://twitter.com/hudsuharg/status/1470498960720920576")</f>
        <v>https://twitter.com/hudsuharg/status/1470498960720920576</v>
      </c>
      <c r="AF139" s="73">
        <v>44543.875543981485</v>
      </c>
      <c r="AG139" s="77">
        <v>44543</v>
      </c>
      <c r="AH139" s="74" t="s">
        <v>904</v>
      </c>
      <c r="AV139" s="75" t="str">
        <f>HYPERLINK("https://pbs.twimg.com/profile_images/787179474219511810/khs5nh5C_normal.jpg")</f>
        <v>https://pbs.twimg.com/profile_images/787179474219511810/khs5nh5C_normal.jpg</v>
      </c>
      <c r="AW139" s="74" t="s">
        <v>1125</v>
      </c>
      <c r="AX139" s="74" t="s">
        <v>1289</v>
      </c>
      <c r="AY139" s="74" t="s">
        <v>1363</v>
      </c>
      <c r="AZ139" s="74" t="s">
        <v>1289</v>
      </c>
      <c r="BA139" s="74" t="s">
        <v>1384</v>
      </c>
      <c r="BB139" s="74" t="s">
        <v>1384</v>
      </c>
      <c r="BC139" s="74" t="s">
        <v>1289</v>
      </c>
      <c r="BD139" s="74" t="s">
        <v>1445</v>
      </c>
      <c r="BJ139" s="44"/>
      <c r="BK139" s="45"/>
      <c r="BL139" s="44"/>
      <c r="BM139" s="45"/>
      <c r="BN139" s="44"/>
      <c r="BO139" s="45"/>
      <c r="BP139" s="44"/>
      <c r="BQ139" s="45"/>
      <c r="BR139" s="44"/>
      <c r="BS139">
        <v>1</v>
      </c>
      <c r="BT139" s="112" t="str">
        <f>REPLACE(INDEX(GroupVertices[Group],MATCH("~"&amp;Edges[[#This Row],[Vertex 1]],GroupVertices[Vertex],0)),1,1,"")</f>
        <v>2</v>
      </c>
      <c r="BU139" s="112" t="str">
        <f>REPLACE(INDEX(GroupVertices[Group],MATCH("~"&amp;Edges[[#This Row],[Vertex 2]],GroupVertices[Vertex],0)),1,1,"")</f>
        <v>2</v>
      </c>
    </row>
    <row r="140" spans="1:73" ht="15">
      <c r="A140" s="59" t="s">
        <v>284</v>
      </c>
      <c r="B140" s="59" t="s">
        <v>409</v>
      </c>
      <c r="C140" s="60"/>
      <c r="D140" s="61"/>
      <c r="E140" s="62"/>
      <c r="F140" s="63"/>
      <c r="G140" s="60"/>
      <c r="H140" s="64"/>
      <c r="I140" s="65"/>
      <c r="J140" s="65"/>
      <c r="K140" s="30" t="s">
        <v>65</v>
      </c>
      <c r="L140" s="72">
        <v>140</v>
      </c>
      <c r="M1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0" s="67"/>
      <c r="O140" t="s">
        <v>483</v>
      </c>
      <c r="P140" s="73">
        <v>44543.875543981485</v>
      </c>
      <c r="Q140" t="s">
        <v>590</v>
      </c>
      <c r="R140">
        <v>0</v>
      </c>
      <c r="S140">
        <v>0</v>
      </c>
      <c r="T140">
        <v>0</v>
      </c>
      <c r="U140">
        <v>0</v>
      </c>
      <c r="Z140" t="s">
        <v>747</v>
      </c>
      <c r="AC140" s="74" t="s">
        <v>787</v>
      </c>
      <c r="AD140" t="s">
        <v>794</v>
      </c>
      <c r="AE140" s="75" t="str">
        <f>HYPERLINK("https://twitter.com/hudsuharg/status/1470498960720920576")</f>
        <v>https://twitter.com/hudsuharg/status/1470498960720920576</v>
      </c>
      <c r="AF140" s="73">
        <v>44543.875543981485</v>
      </c>
      <c r="AG140" s="77">
        <v>44543</v>
      </c>
      <c r="AH140" s="74" t="s">
        <v>904</v>
      </c>
      <c r="AV140" s="75" t="str">
        <f>HYPERLINK("https://pbs.twimg.com/profile_images/787179474219511810/khs5nh5C_normal.jpg")</f>
        <v>https://pbs.twimg.com/profile_images/787179474219511810/khs5nh5C_normal.jpg</v>
      </c>
      <c r="AW140" s="74" t="s">
        <v>1125</v>
      </c>
      <c r="AX140" s="74" t="s">
        <v>1289</v>
      </c>
      <c r="AY140" s="74" t="s">
        <v>1363</v>
      </c>
      <c r="AZ140" s="74" t="s">
        <v>1289</v>
      </c>
      <c r="BA140" s="74" t="s">
        <v>1384</v>
      </c>
      <c r="BB140" s="74" t="s">
        <v>1384</v>
      </c>
      <c r="BC140" s="74" t="s">
        <v>1289</v>
      </c>
      <c r="BD140" s="74" t="s">
        <v>1445</v>
      </c>
      <c r="BJ140" s="44"/>
      <c r="BK140" s="45"/>
      <c r="BL140" s="44"/>
      <c r="BM140" s="45"/>
      <c r="BN140" s="44"/>
      <c r="BO140" s="45"/>
      <c r="BP140" s="44"/>
      <c r="BQ140" s="45"/>
      <c r="BR140" s="44"/>
      <c r="BS140">
        <v>1</v>
      </c>
      <c r="BT140" s="112" t="str">
        <f>REPLACE(INDEX(GroupVertices[Group],MATCH("~"&amp;Edges[[#This Row],[Vertex 1]],GroupVertices[Vertex],0)),1,1,"")</f>
        <v>2</v>
      </c>
      <c r="BU140" s="112" t="str">
        <f>REPLACE(INDEX(GroupVertices[Group],MATCH("~"&amp;Edges[[#This Row],[Vertex 2]],GroupVertices[Vertex],0)),1,1,"")</f>
        <v>2</v>
      </c>
    </row>
    <row r="141" spans="1:73" ht="15">
      <c r="A141" s="59" t="s">
        <v>284</v>
      </c>
      <c r="B141" s="59" t="s">
        <v>410</v>
      </c>
      <c r="C141" s="60"/>
      <c r="D141" s="61"/>
      <c r="E141" s="62"/>
      <c r="F141" s="63"/>
      <c r="G141" s="60"/>
      <c r="H141" s="64"/>
      <c r="I141" s="65"/>
      <c r="J141" s="65"/>
      <c r="K141" s="30" t="s">
        <v>65</v>
      </c>
      <c r="L141" s="72">
        <v>141</v>
      </c>
      <c r="M1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1" s="67"/>
      <c r="O141" t="s">
        <v>482</v>
      </c>
      <c r="P141" s="73">
        <v>44543.875543981485</v>
      </c>
      <c r="Q141" t="s">
        <v>590</v>
      </c>
      <c r="R141">
        <v>0</v>
      </c>
      <c r="S141">
        <v>0</v>
      </c>
      <c r="T141">
        <v>0</v>
      </c>
      <c r="U141">
        <v>0</v>
      </c>
      <c r="Z141" t="s">
        <v>747</v>
      </c>
      <c r="AC141" s="74" t="s">
        <v>787</v>
      </c>
      <c r="AD141" t="s">
        <v>794</v>
      </c>
      <c r="AE141" s="75" t="str">
        <f>HYPERLINK("https://twitter.com/hudsuharg/status/1470498960720920576")</f>
        <v>https://twitter.com/hudsuharg/status/1470498960720920576</v>
      </c>
      <c r="AF141" s="73">
        <v>44543.875543981485</v>
      </c>
      <c r="AG141" s="77">
        <v>44543</v>
      </c>
      <c r="AH141" s="74" t="s">
        <v>904</v>
      </c>
      <c r="AV141" s="75" t="str">
        <f>HYPERLINK("https://pbs.twimg.com/profile_images/787179474219511810/khs5nh5C_normal.jpg")</f>
        <v>https://pbs.twimg.com/profile_images/787179474219511810/khs5nh5C_normal.jpg</v>
      </c>
      <c r="AW141" s="74" t="s">
        <v>1125</v>
      </c>
      <c r="AX141" s="74" t="s">
        <v>1289</v>
      </c>
      <c r="AY141" s="74" t="s">
        <v>1363</v>
      </c>
      <c r="AZ141" s="74" t="s">
        <v>1289</v>
      </c>
      <c r="BA141" s="74" t="s">
        <v>1384</v>
      </c>
      <c r="BB141" s="74" t="s">
        <v>1384</v>
      </c>
      <c r="BC141" s="74" t="s">
        <v>1289</v>
      </c>
      <c r="BD141" s="74" t="s">
        <v>1445</v>
      </c>
      <c r="BJ141" s="44"/>
      <c r="BK141" s="45"/>
      <c r="BL141" s="44"/>
      <c r="BM141" s="45"/>
      <c r="BN141" s="44"/>
      <c r="BO141" s="45"/>
      <c r="BP141" s="44"/>
      <c r="BQ141" s="45"/>
      <c r="BR141" s="44"/>
      <c r="BS141">
        <v>1</v>
      </c>
      <c r="BT141" s="112" t="str">
        <f>REPLACE(INDEX(GroupVertices[Group],MATCH("~"&amp;Edges[[#This Row],[Vertex 1]],GroupVertices[Vertex],0)),1,1,"")</f>
        <v>2</v>
      </c>
      <c r="BU141" s="112" t="str">
        <f>REPLACE(INDEX(GroupVertices[Group],MATCH("~"&amp;Edges[[#This Row],[Vertex 2]],GroupVertices[Vertex],0)),1,1,"")</f>
        <v>2</v>
      </c>
    </row>
    <row r="142" spans="1:73" ht="15">
      <c r="A142" s="59" t="s">
        <v>284</v>
      </c>
      <c r="B142" s="59" t="s">
        <v>411</v>
      </c>
      <c r="C142" s="60"/>
      <c r="D142" s="61"/>
      <c r="E142" s="62"/>
      <c r="F142" s="63"/>
      <c r="G142" s="60"/>
      <c r="H142" s="64"/>
      <c r="I142" s="65"/>
      <c r="J142" s="65"/>
      <c r="K142" s="30" t="s">
        <v>65</v>
      </c>
      <c r="L142" s="72">
        <v>142</v>
      </c>
      <c r="M1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2" s="67"/>
      <c r="O142" t="s">
        <v>483</v>
      </c>
      <c r="P142" s="73">
        <v>44558.632418981484</v>
      </c>
      <c r="Q142" t="s">
        <v>591</v>
      </c>
      <c r="R142">
        <v>0</v>
      </c>
      <c r="S142">
        <v>0</v>
      </c>
      <c r="T142">
        <v>0</v>
      </c>
      <c r="U142">
        <v>0</v>
      </c>
      <c r="Z142" t="s">
        <v>748</v>
      </c>
      <c r="AC142" s="74" t="s">
        <v>787</v>
      </c>
      <c r="AD142" t="s">
        <v>794</v>
      </c>
      <c r="AE142" s="75" t="str">
        <f>HYPERLINK("https://twitter.com/hudsuharg/status/1475846674966671364")</f>
        <v>https://twitter.com/hudsuharg/status/1475846674966671364</v>
      </c>
      <c r="AF142" s="73">
        <v>44558.632418981484</v>
      </c>
      <c r="AG142" s="77">
        <v>44558</v>
      </c>
      <c r="AH142" s="74" t="s">
        <v>905</v>
      </c>
      <c r="AV142" s="75" t="str">
        <f>HYPERLINK("https://pbs.twimg.com/profile_images/787179474219511810/khs5nh5C_normal.jpg")</f>
        <v>https://pbs.twimg.com/profile_images/787179474219511810/khs5nh5C_normal.jpg</v>
      </c>
      <c r="AW142" s="74" t="s">
        <v>1126</v>
      </c>
      <c r="AX142" s="74" t="s">
        <v>1221</v>
      </c>
      <c r="AY142" s="74" t="s">
        <v>1328</v>
      </c>
      <c r="AZ142" s="74" t="s">
        <v>1221</v>
      </c>
      <c r="BA142" s="74" t="s">
        <v>1384</v>
      </c>
      <c r="BB142" s="74" t="s">
        <v>1384</v>
      </c>
      <c r="BC142" s="74" t="s">
        <v>1221</v>
      </c>
      <c r="BD142" s="74" t="s">
        <v>1445</v>
      </c>
      <c r="BJ142" s="44">
        <v>4</v>
      </c>
      <c r="BK142" s="45">
        <v>50</v>
      </c>
      <c r="BL142" s="44">
        <v>0</v>
      </c>
      <c r="BM142" s="45">
        <v>0</v>
      </c>
      <c r="BN142" s="44">
        <v>0</v>
      </c>
      <c r="BO142" s="45">
        <v>0</v>
      </c>
      <c r="BP142" s="44">
        <v>4</v>
      </c>
      <c r="BQ142" s="45">
        <v>50</v>
      </c>
      <c r="BR142" s="44">
        <v>8</v>
      </c>
      <c r="BS142">
        <v>1</v>
      </c>
      <c r="BT142" s="112" t="str">
        <f>REPLACE(INDEX(GroupVertices[Group],MATCH("~"&amp;Edges[[#This Row],[Vertex 1]],GroupVertices[Vertex],0)),1,1,"")</f>
        <v>2</v>
      </c>
      <c r="BU142" s="112" t="str">
        <f>REPLACE(INDEX(GroupVertices[Group],MATCH("~"&amp;Edges[[#This Row],[Vertex 2]],GroupVertices[Vertex],0)),1,1,"")</f>
        <v>2</v>
      </c>
    </row>
    <row r="143" spans="1:73" ht="15">
      <c r="A143" s="59" t="s">
        <v>284</v>
      </c>
      <c r="B143" s="59" t="s">
        <v>412</v>
      </c>
      <c r="C143" s="60"/>
      <c r="D143" s="61"/>
      <c r="E143" s="62"/>
      <c r="F143" s="63"/>
      <c r="G143" s="60"/>
      <c r="H143" s="64"/>
      <c r="I143" s="65"/>
      <c r="J143" s="65"/>
      <c r="K143" s="30" t="s">
        <v>65</v>
      </c>
      <c r="L143" s="72">
        <v>143</v>
      </c>
      <c r="M1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3" s="67"/>
      <c r="O143" t="s">
        <v>483</v>
      </c>
      <c r="P143" s="73">
        <v>44545.63469907407</v>
      </c>
      <c r="Q143" t="s">
        <v>592</v>
      </c>
      <c r="R143">
        <v>0</v>
      </c>
      <c r="S143">
        <v>0</v>
      </c>
      <c r="T143">
        <v>1</v>
      </c>
      <c r="U143">
        <v>0</v>
      </c>
      <c r="Z143" t="s">
        <v>749</v>
      </c>
      <c r="AC143" s="74" t="s">
        <v>787</v>
      </c>
      <c r="AD143" t="s">
        <v>794</v>
      </c>
      <c r="AE143" s="75" t="str">
        <f>HYPERLINK("https://twitter.com/hudsuharg/status/1471136459255996426")</f>
        <v>https://twitter.com/hudsuharg/status/1471136459255996426</v>
      </c>
      <c r="AF143" s="73">
        <v>44545.63469907407</v>
      </c>
      <c r="AG143" s="77">
        <v>44545</v>
      </c>
      <c r="AH143" s="74" t="s">
        <v>906</v>
      </c>
      <c r="AV143" s="75" t="str">
        <f>HYPERLINK("https://pbs.twimg.com/profile_images/787179474219511810/khs5nh5C_normal.jpg")</f>
        <v>https://pbs.twimg.com/profile_images/787179474219511810/khs5nh5C_normal.jpg</v>
      </c>
      <c r="AW143" s="74" t="s">
        <v>1127</v>
      </c>
      <c r="AX143" s="74" t="s">
        <v>1290</v>
      </c>
      <c r="AY143" s="74" t="s">
        <v>1364</v>
      </c>
      <c r="AZ143" s="74" t="s">
        <v>1290</v>
      </c>
      <c r="BA143" s="74" t="s">
        <v>1384</v>
      </c>
      <c r="BB143" s="74" t="s">
        <v>1384</v>
      </c>
      <c r="BC143" s="74" t="s">
        <v>1290</v>
      </c>
      <c r="BD143" s="74" t="s">
        <v>1445</v>
      </c>
      <c r="BJ143" s="44"/>
      <c r="BK143" s="45"/>
      <c r="BL143" s="44"/>
      <c r="BM143" s="45"/>
      <c r="BN143" s="44"/>
      <c r="BO143" s="45"/>
      <c r="BP143" s="44"/>
      <c r="BQ143" s="45"/>
      <c r="BR143" s="44"/>
      <c r="BS143">
        <v>1</v>
      </c>
      <c r="BT143" s="112" t="str">
        <f>REPLACE(INDEX(GroupVertices[Group],MATCH("~"&amp;Edges[[#This Row],[Vertex 1]],GroupVertices[Vertex],0)),1,1,"")</f>
        <v>2</v>
      </c>
      <c r="BU143" s="112" t="str">
        <f>REPLACE(INDEX(GroupVertices[Group],MATCH("~"&amp;Edges[[#This Row],[Vertex 2]],GroupVertices[Vertex],0)),1,1,"")</f>
        <v>2</v>
      </c>
    </row>
    <row r="144" spans="1:73" ht="15">
      <c r="A144" s="59" t="s">
        <v>284</v>
      </c>
      <c r="B144" s="59" t="s">
        <v>413</v>
      </c>
      <c r="C144" s="60"/>
      <c r="D144" s="61"/>
      <c r="E144" s="62"/>
      <c r="F144" s="63"/>
      <c r="G144" s="60"/>
      <c r="H144" s="64"/>
      <c r="I144" s="65"/>
      <c r="J144" s="65"/>
      <c r="K144" s="30" t="s">
        <v>65</v>
      </c>
      <c r="L144" s="72">
        <v>144</v>
      </c>
      <c r="M1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4" s="67"/>
      <c r="O144" t="s">
        <v>482</v>
      </c>
      <c r="P144" s="73">
        <v>44545.63469907407</v>
      </c>
      <c r="Q144" t="s">
        <v>592</v>
      </c>
      <c r="R144">
        <v>0</v>
      </c>
      <c r="S144">
        <v>0</v>
      </c>
      <c r="T144">
        <v>1</v>
      </c>
      <c r="U144">
        <v>0</v>
      </c>
      <c r="Z144" t="s">
        <v>749</v>
      </c>
      <c r="AC144" s="74" t="s">
        <v>787</v>
      </c>
      <c r="AD144" t="s">
        <v>794</v>
      </c>
      <c r="AE144" s="75" t="str">
        <f>HYPERLINK("https://twitter.com/hudsuharg/status/1471136459255996426")</f>
        <v>https://twitter.com/hudsuharg/status/1471136459255996426</v>
      </c>
      <c r="AF144" s="73">
        <v>44545.63469907407</v>
      </c>
      <c r="AG144" s="77">
        <v>44545</v>
      </c>
      <c r="AH144" s="74" t="s">
        <v>906</v>
      </c>
      <c r="AV144" s="75" t="str">
        <f>HYPERLINK("https://pbs.twimg.com/profile_images/787179474219511810/khs5nh5C_normal.jpg")</f>
        <v>https://pbs.twimg.com/profile_images/787179474219511810/khs5nh5C_normal.jpg</v>
      </c>
      <c r="AW144" s="74" t="s">
        <v>1127</v>
      </c>
      <c r="AX144" s="74" t="s">
        <v>1290</v>
      </c>
      <c r="AY144" s="74" t="s">
        <v>1364</v>
      </c>
      <c r="AZ144" s="74" t="s">
        <v>1290</v>
      </c>
      <c r="BA144" s="74" t="s">
        <v>1384</v>
      </c>
      <c r="BB144" s="74" t="s">
        <v>1384</v>
      </c>
      <c r="BC144" s="74" t="s">
        <v>1290</v>
      </c>
      <c r="BD144" s="74" t="s">
        <v>1445</v>
      </c>
      <c r="BJ144" s="44">
        <v>4</v>
      </c>
      <c r="BK144" s="45">
        <v>22.22222222222222</v>
      </c>
      <c r="BL144" s="44">
        <v>1</v>
      </c>
      <c r="BM144" s="45">
        <v>5.555555555555555</v>
      </c>
      <c r="BN144" s="44">
        <v>0</v>
      </c>
      <c r="BO144" s="45">
        <v>0</v>
      </c>
      <c r="BP144" s="44">
        <v>13</v>
      </c>
      <c r="BQ144" s="45">
        <v>72.22222222222223</v>
      </c>
      <c r="BR144" s="44">
        <v>18</v>
      </c>
      <c r="BS144">
        <v>1</v>
      </c>
      <c r="BT144" s="112" t="str">
        <f>REPLACE(INDEX(GroupVertices[Group],MATCH("~"&amp;Edges[[#This Row],[Vertex 1]],GroupVertices[Vertex],0)),1,1,"")</f>
        <v>2</v>
      </c>
      <c r="BU144" s="112" t="str">
        <f>REPLACE(INDEX(GroupVertices[Group],MATCH("~"&amp;Edges[[#This Row],[Vertex 2]],GroupVertices[Vertex],0)),1,1,"")</f>
        <v>2</v>
      </c>
    </row>
    <row r="145" spans="1:73" ht="15">
      <c r="A145" s="59" t="s">
        <v>284</v>
      </c>
      <c r="B145" s="59" t="s">
        <v>414</v>
      </c>
      <c r="C145" s="60"/>
      <c r="D145" s="61"/>
      <c r="E145" s="62"/>
      <c r="F145" s="63"/>
      <c r="G145" s="60"/>
      <c r="H145" s="64"/>
      <c r="I145" s="65"/>
      <c r="J145" s="65"/>
      <c r="K145" s="30" t="s">
        <v>65</v>
      </c>
      <c r="L145" s="72">
        <v>145</v>
      </c>
      <c r="M1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5" s="67"/>
      <c r="O145" t="s">
        <v>483</v>
      </c>
      <c r="P145" s="73">
        <v>44545.62318287037</v>
      </c>
      <c r="Q145" t="s">
        <v>593</v>
      </c>
      <c r="R145">
        <v>2</v>
      </c>
      <c r="S145">
        <v>1</v>
      </c>
      <c r="T145">
        <v>0</v>
      </c>
      <c r="U145">
        <v>0</v>
      </c>
      <c r="Z145" t="s">
        <v>750</v>
      </c>
      <c r="AC145" s="74" t="s">
        <v>787</v>
      </c>
      <c r="AD145" t="s">
        <v>794</v>
      </c>
      <c r="AE145" s="75" t="str">
        <f>HYPERLINK("https://twitter.com/hudsuharg/status/1471132284602368000")</f>
        <v>https://twitter.com/hudsuharg/status/1471132284602368000</v>
      </c>
      <c r="AF145" s="73">
        <v>44545.62318287037</v>
      </c>
      <c r="AG145" s="77">
        <v>44545</v>
      </c>
      <c r="AH145" s="74" t="s">
        <v>907</v>
      </c>
      <c r="AV145" s="75" t="str">
        <f>HYPERLINK("https://pbs.twimg.com/profile_images/787179474219511810/khs5nh5C_normal.jpg")</f>
        <v>https://pbs.twimg.com/profile_images/787179474219511810/khs5nh5C_normal.jpg</v>
      </c>
      <c r="AW145" s="74" t="s">
        <v>1128</v>
      </c>
      <c r="AX145" s="74" t="s">
        <v>1291</v>
      </c>
      <c r="AY145" s="74" t="s">
        <v>1365</v>
      </c>
      <c r="AZ145" s="74" t="s">
        <v>1291</v>
      </c>
      <c r="BA145" s="74" t="s">
        <v>1384</v>
      </c>
      <c r="BB145" s="74" t="s">
        <v>1384</v>
      </c>
      <c r="BC145" s="74" t="s">
        <v>1291</v>
      </c>
      <c r="BD145" s="74" t="s">
        <v>1445</v>
      </c>
      <c r="BJ145" s="44"/>
      <c r="BK145" s="45"/>
      <c r="BL145" s="44"/>
      <c r="BM145" s="45"/>
      <c r="BN145" s="44"/>
      <c r="BO145" s="45"/>
      <c r="BP145" s="44"/>
      <c r="BQ145" s="45"/>
      <c r="BR145" s="44"/>
      <c r="BS145">
        <v>1</v>
      </c>
      <c r="BT145" s="112" t="str">
        <f>REPLACE(INDEX(GroupVertices[Group],MATCH("~"&amp;Edges[[#This Row],[Vertex 1]],GroupVertices[Vertex],0)),1,1,"")</f>
        <v>2</v>
      </c>
      <c r="BU145" s="112" t="str">
        <f>REPLACE(INDEX(GroupVertices[Group],MATCH("~"&amp;Edges[[#This Row],[Vertex 2]],GroupVertices[Vertex],0)),1,1,"")</f>
        <v>2</v>
      </c>
    </row>
    <row r="146" spans="1:73" ht="15">
      <c r="A146" s="59" t="s">
        <v>284</v>
      </c>
      <c r="B146" s="59" t="s">
        <v>415</v>
      </c>
      <c r="C146" s="60"/>
      <c r="D146" s="61"/>
      <c r="E146" s="62"/>
      <c r="F146" s="63"/>
      <c r="G146" s="60"/>
      <c r="H146" s="64"/>
      <c r="I146" s="65"/>
      <c r="J146" s="65"/>
      <c r="K146" s="30" t="s">
        <v>65</v>
      </c>
      <c r="L146" s="72">
        <v>146</v>
      </c>
      <c r="M1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6" s="67"/>
      <c r="O146" t="s">
        <v>482</v>
      </c>
      <c r="P146" s="73">
        <v>44545.62318287037</v>
      </c>
      <c r="Q146" t="s">
        <v>593</v>
      </c>
      <c r="R146">
        <v>2</v>
      </c>
      <c r="S146">
        <v>1</v>
      </c>
      <c r="T146">
        <v>0</v>
      </c>
      <c r="U146">
        <v>0</v>
      </c>
      <c r="Z146" t="s">
        <v>750</v>
      </c>
      <c r="AC146" s="74" t="s">
        <v>787</v>
      </c>
      <c r="AD146" t="s">
        <v>794</v>
      </c>
      <c r="AE146" s="75" t="str">
        <f>HYPERLINK("https://twitter.com/hudsuharg/status/1471132284602368000")</f>
        <v>https://twitter.com/hudsuharg/status/1471132284602368000</v>
      </c>
      <c r="AF146" s="73">
        <v>44545.62318287037</v>
      </c>
      <c r="AG146" s="77">
        <v>44545</v>
      </c>
      <c r="AH146" s="74" t="s">
        <v>907</v>
      </c>
      <c r="AV146" s="75" t="str">
        <f>HYPERLINK("https://pbs.twimg.com/profile_images/787179474219511810/khs5nh5C_normal.jpg")</f>
        <v>https://pbs.twimg.com/profile_images/787179474219511810/khs5nh5C_normal.jpg</v>
      </c>
      <c r="AW146" s="74" t="s">
        <v>1128</v>
      </c>
      <c r="AX146" s="74" t="s">
        <v>1291</v>
      </c>
      <c r="AY146" s="74" t="s">
        <v>1365</v>
      </c>
      <c r="AZ146" s="74" t="s">
        <v>1291</v>
      </c>
      <c r="BA146" s="74" t="s">
        <v>1384</v>
      </c>
      <c r="BB146" s="74" t="s">
        <v>1384</v>
      </c>
      <c r="BC146" s="74" t="s">
        <v>1291</v>
      </c>
      <c r="BD146" s="74" t="s">
        <v>1445</v>
      </c>
      <c r="BJ146" s="44">
        <v>3</v>
      </c>
      <c r="BK146" s="45">
        <v>12.5</v>
      </c>
      <c r="BL146" s="44">
        <v>1</v>
      </c>
      <c r="BM146" s="45">
        <v>4.166666666666667</v>
      </c>
      <c r="BN146" s="44">
        <v>0</v>
      </c>
      <c r="BO146" s="45">
        <v>0</v>
      </c>
      <c r="BP146" s="44">
        <v>20</v>
      </c>
      <c r="BQ146" s="45">
        <v>83.33333333333333</v>
      </c>
      <c r="BR146" s="44">
        <v>24</v>
      </c>
      <c r="BS146">
        <v>1</v>
      </c>
      <c r="BT146" s="112" t="str">
        <f>REPLACE(INDEX(GroupVertices[Group],MATCH("~"&amp;Edges[[#This Row],[Vertex 1]],GroupVertices[Vertex],0)),1,1,"")</f>
        <v>2</v>
      </c>
      <c r="BU146" s="112" t="str">
        <f>REPLACE(INDEX(GroupVertices[Group],MATCH("~"&amp;Edges[[#This Row],[Vertex 2]],GroupVertices[Vertex],0)),1,1,"")</f>
        <v>2</v>
      </c>
    </row>
    <row r="147" spans="1:73" ht="15">
      <c r="A147" s="59" t="s">
        <v>284</v>
      </c>
      <c r="B147" s="59" t="s">
        <v>416</v>
      </c>
      <c r="C147" s="60"/>
      <c r="D147" s="61"/>
      <c r="E147" s="62"/>
      <c r="F147" s="63"/>
      <c r="G147" s="60"/>
      <c r="H147" s="64"/>
      <c r="I147" s="65"/>
      <c r="J147" s="65"/>
      <c r="K147" s="30" t="s">
        <v>65</v>
      </c>
      <c r="L147" s="72">
        <v>147</v>
      </c>
      <c r="M1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7" s="67"/>
      <c r="O147" t="s">
        <v>482</v>
      </c>
      <c r="P147" s="73">
        <v>44598.17289351852</v>
      </c>
      <c r="Q147" t="s">
        <v>594</v>
      </c>
      <c r="R147">
        <v>0</v>
      </c>
      <c r="S147">
        <v>0</v>
      </c>
      <c r="T147">
        <v>0</v>
      </c>
      <c r="U147">
        <v>0</v>
      </c>
      <c r="Z147" t="s">
        <v>416</v>
      </c>
      <c r="AC147" s="74" t="s">
        <v>787</v>
      </c>
      <c r="AD147" t="s">
        <v>794</v>
      </c>
      <c r="AE147" s="75" t="str">
        <f>HYPERLINK("https://twitter.com/hudsuharg/status/1490175660689883136")</f>
        <v>https://twitter.com/hudsuharg/status/1490175660689883136</v>
      </c>
      <c r="AF147" s="73">
        <v>44598.17289351852</v>
      </c>
      <c r="AG147" s="77">
        <v>44598</v>
      </c>
      <c r="AH147" s="74" t="s">
        <v>908</v>
      </c>
      <c r="AV147" s="75" t="str">
        <f>HYPERLINK("https://pbs.twimg.com/profile_images/787179474219511810/khs5nh5C_normal.jpg")</f>
        <v>https://pbs.twimg.com/profile_images/787179474219511810/khs5nh5C_normal.jpg</v>
      </c>
      <c r="AW147" s="74" t="s">
        <v>1129</v>
      </c>
      <c r="AX147" s="74" t="s">
        <v>1292</v>
      </c>
      <c r="AY147" s="74" t="s">
        <v>1366</v>
      </c>
      <c r="AZ147" s="74" t="s">
        <v>1292</v>
      </c>
      <c r="BA147" s="74" t="s">
        <v>1384</v>
      </c>
      <c r="BB147" s="74" t="s">
        <v>1384</v>
      </c>
      <c r="BC147" s="74" t="s">
        <v>1292</v>
      </c>
      <c r="BD147" s="74" t="s">
        <v>1445</v>
      </c>
      <c r="BJ147" s="44">
        <v>4</v>
      </c>
      <c r="BK147" s="45">
        <v>22.22222222222222</v>
      </c>
      <c r="BL147" s="44">
        <v>0</v>
      </c>
      <c r="BM147" s="45">
        <v>0</v>
      </c>
      <c r="BN147" s="44">
        <v>0</v>
      </c>
      <c r="BO147" s="45">
        <v>0</v>
      </c>
      <c r="BP147" s="44">
        <v>14</v>
      </c>
      <c r="BQ147" s="45">
        <v>77.77777777777777</v>
      </c>
      <c r="BR147" s="44">
        <v>18</v>
      </c>
      <c r="BS147">
        <v>1</v>
      </c>
      <c r="BT147" s="112" t="str">
        <f>REPLACE(INDEX(GroupVertices[Group],MATCH("~"&amp;Edges[[#This Row],[Vertex 1]],GroupVertices[Vertex],0)),1,1,"")</f>
        <v>2</v>
      </c>
      <c r="BU147" s="112" t="str">
        <f>REPLACE(INDEX(GroupVertices[Group],MATCH("~"&amp;Edges[[#This Row],[Vertex 2]],GroupVertices[Vertex],0)),1,1,"")</f>
        <v>2</v>
      </c>
    </row>
    <row r="148" spans="1:73" ht="15">
      <c r="A148" s="59" t="s">
        <v>284</v>
      </c>
      <c r="B148" s="59" t="s">
        <v>417</v>
      </c>
      <c r="C148" s="60"/>
      <c r="D148" s="61"/>
      <c r="E148" s="62"/>
      <c r="F148" s="63"/>
      <c r="G148" s="60"/>
      <c r="H148" s="64"/>
      <c r="I148" s="65"/>
      <c r="J148" s="65"/>
      <c r="K148" s="30" t="s">
        <v>65</v>
      </c>
      <c r="L148" s="72">
        <v>148</v>
      </c>
      <c r="M1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8" s="67"/>
      <c r="O148" t="s">
        <v>482</v>
      </c>
      <c r="P148" s="73">
        <v>44542.076516203706</v>
      </c>
      <c r="Q148" t="s">
        <v>595</v>
      </c>
      <c r="R148">
        <v>0</v>
      </c>
      <c r="S148">
        <v>1</v>
      </c>
      <c r="T148">
        <v>0</v>
      </c>
      <c r="U148">
        <v>0</v>
      </c>
      <c r="Z148" t="s">
        <v>751</v>
      </c>
      <c r="AC148" s="74" t="s">
        <v>787</v>
      </c>
      <c r="AD148" t="s">
        <v>794</v>
      </c>
      <c r="AE148" s="75" t="str">
        <f>HYPERLINK("https://twitter.com/hudsuharg/status/1469847013780967424")</f>
        <v>https://twitter.com/hudsuharg/status/1469847013780967424</v>
      </c>
      <c r="AF148" s="73">
        <v>44542.076516203706</v>
      </c>
      <c r="AG148" s="77">
        <v>44542</v>
      </c>
      <c r="AH148" s="74" t="s">
        <v>909</v>
      </c>
      <c r="AV148" s="75" t="str">
        <f>HYPERLINK("https://pbs.twimg.com/profile_images/787179474219511810/khs5nh5C_normal.jpg")</f>
        <v>https://pbs.twimg.com/profile_images/787179474219511810/khs5nh5C_normal.jpg</v>
      </c>
      <c r="AW148" s="74" t="s">
        <v>1130</v>
      </c>
      <c r="AX148" s="74" t="s">
        <v>1293</v>
      </c>
      <c r="AY148" s="74" t="s">
        <v>1367</v>
      </c>
      <c r="AZ148" s="74" t="s">
        <v>1293</v>
      </c>
      <c r="BA148" s="74" t="s">
        <v>1384</v>
      </c>
      <c r="BB148" s="74" t="s">
        <v>1384</v>
      </c>
      <c r="BC148" s="74" t="s">
        <v>1293</v>
      </c>
      <c r="BD148" s="74" t="s">
        <v>1445</v>
      </c>
      <c r="BJ148" s="44">
        <v>3</v>
      </c>
      <c r="BK148" s="45">
        <v>42.857142857142854</v>
      </c>
      <c r="BL148" s="44">
        <v>0</v>
      </c>
      <c r="BM148" s="45">
        <v>0</v>
      </c>
      <c r="BN148" s="44">
        <v>0</v>
      </c>
      <c r="BO148" s="45">
        <v>0</v>
      </c>
      <c r="BP148" s="44">
        <v>4</v>
      </c>
      <c r="BQ148" s="45">
        <v>57.142857142857146</v>
      </c>
      <c r="BR148" s="44">
        <v>7</v>
      </c>
      <c r="BS148">
        <v>1</v>
      </c>
      <c r="BT148" s="112" t="str">
        <f>REPLACE(INDEX(GroupVertices[Group],MATCH("~"&amp;Edges[[#This Row],[Vertex 1]],GroupVertices[Vertex],0)),1,1,"")</f>
        <v>2</v>
      </c>
      <c r="BU148" s="112" t="str">
        <f>REPLACE(INDEX(GroupVertices[Group],MATCH("~"&amp;Edges[[#This Row],[Vertex 2]],GroupVertices[Vertex],0)),1,1,"")</f>
        <v>2</v>
      </c>
    </row>
    <row r="149" spans="1:73" ht="15">
      <c r="A149" s="59" t="s">
        <v>284</v>
      </c>
      <c r="B149" s="59" t="s">
        <v>418</v>
      </c>
      <c r="C149" s="60"/>
      <c r="D149" s="61"/>
      <c r="E149" s="62"/>
      <c r="F149" s="63"/>
      <c r="G149" s="60"/>
      <c r="H149" s="64"/>
      <c r="I149" s="65"/>
      <c r="J149" s="65"/>
      <c r="K149" s="30" t="s">
        <v>65</v>
      </c>
      <c r="L149" s="72">
        <v>149</v>
      </c>
      <c r="M1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9" s="67"/>
      <c r="O149" t="s">
        <v>483</v>
      </c>
      <c r="P149" s="73">
        <v>44591.19552083333</v>
      </c>
      <c r="Q149" t="s">
        <v>596</v>
      </c>
      <c r="R149">
        <v>0</v>
      </c>
      <c r="S149">
        <v>0</v>
      </c>
      <c r="T149">
        <v>0</v>
      </c>
      <c r="U149">
        <v>0</v>
      </c>
      <c r="W149" s="74" t="s">
        <v>682</v>
      </c>
      <c r="Z149" t="s">
        <v>752</v>
      </c>
      <c r="AC149" s="74" t="s">
        <v>787</v>
      </c>
      <c r="AD149" t="s">
        <v>794</v>
      </c>
      <c r="AE149" s="75" t="str">
        <f>HYPERLINK("https://twitter.com/hudsuharg/status/1487647147185303554")</f>
        <v>https://twitter.com/hudsuharg/status/1487647147185303554</v>
      </c>
      <c r="AF149" s="73">
        <v>44591.19552083333</v>
      </c>
      <c r="AG149" s="77">
        <v>44591</v>
      </c>
      <c r="AH149" s="74" t="s">
        <v>910</v>
      </c>
      <c r="AV149" s="75" t="str">
        <f>HYPERLINK("https://pbs.twimg.com/profile_images/787179474219511810/khs5nh5C_normal.jpg")</f>
        <v>https://pbs.twimg.com/profile_images/787179474219511810/khs5nh5C_normal.jpg</v>
      </c>
      <c r="AW149" s="74" t="s">
        <v>1131</v>
      </c>
      <c r="AX149" s="74" t="s">
        <v>1294</v>
      </c>
      <c r="AY149" s="74" t="s">
        <v>1368</v>
      </c>
      <c r="AZ149" s="74" t="s">
        <v>1294</v>
      </c>
      <c r="BA149" s="74" t="s">
        <v>1384</v>
      </c>
      <c r="BB149" s="74" t="s">
        <v>1384</v>
      </c>
      <c r="BC149" s="74" t="s">
        <v>1294</v>
      </c>
      <c r="BD149" s="74" t="s">
        <v>1445</v>
      </c>
      <c r="BJ149" s="44"/>
      <c r="BK149" s="45"/>
      <c r="BL149" s="44"/>
      <c r="BM149" s="45"/>
      <c r="BN149" s="44"/>
      <c r="BO149" s="45"/>
      <c r="BP149" s="44"/>
      <c r="BQ149" s="45"/>
      <c r="BR149" s="44"/>
      <c r="BS149">
        <v>1</v>
      </c>
      <c r="BT149" s="112" t="str">
        <f>REPLACE(INDEX(GroupVertices[Group],MATCH("~"&amp;Edges[[#This Row],[Vertex 1]],GroupVertices[Vertex],0)),1,1,"")</f>
        <v>2</v>
      </c>
      <c r="BU149" s="112" t="str">
        <f>REPLACE(INDEX(GroupVertices[Group],MATCH("~"&amp;Edges[[#This Row],[Vertex 2]],GroupVertices[Vertex],0)),1,1,"")</f>
        <v>2</v>
      </c>
    </row>
    <row r="150" spans="1:73" ht="15">
      <c r="A150" s="59" t="s">
        <v>284</v>
      </c>
      <c r="B150" s="59" t="s">
        <v>419</v>
      </c>
      <c r="C150" s="60"/>
      <c r="D150" s="61"/>
      <c r="E150" s="62"/>
      <c r="F150" s="63"/>
      <c r="G150" s="60"/>
      <c r="H150" s="64"/>
      <c r="I150" s="65"/>
      <c r="J150" s="65"/>
      <c r="K150" s="30" t="s">
        <v>65</v>
      </c>
      <c r="L150" s="72">
        <v>150</v>
      </c>
      <c r="M1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0" s="67"/>
      <c r="O150" t="s">
        <v>483</v>
      </c>
      <c r="P150" s="73">
        <v>44543.875543981485</v>
      </c>
      <c r="Q150" t="s">
        <v>590</v>
      </c>
      <c r="R150">
        <v>0</v>
      </c>
      <c r="S150">
        <v>0</v>
      </c>
      <c r="T150">
        <v>0</v>
      </c>
      <c r="U150">
        <v>0</v>
      </c>
      <c r="Z150" t="s">
        <v>747</v>
      </c>
      <c r="AC150" s="74" t="s">
        <v>787</v>
      </c>
      <c r="AD150" t="s">
        <v>794</v>
      </c>
      <c r="AE150" s="75" t="str">
        <f>HYPERLINK("https://twitter.com/hudsuharg/status/1470498960720920576")</f>
        <v>https://twitter.com/hudsuharg/status/1470498960720920576</v>
      </c>
      <c r="AF150" s="73">
        <v>44543.875543981485</v>
      </c>
      <c r="AG150" s="77">
        <v>44543</v>
      </c>
      <c r="AH150" s="74" t="s">
        <v>904</v>
      </c>
      <c r="AV150" s="75" t="str">
        <f>HYPERLINK("https://pbs.twimg.com/profile_images/787179474219511810/khs5nh5C_normal.jpg")</f>
        <v>https://pbs.twimg.com/profile_images/787179474219511810/khs5nh5C_normal.jpg</v>
      </c>
      <c r="AW150" s="74" t="s">
        <v>1125</v>
      </c>
      <c r="AX150" s="74" t="s">
        <v>1289</v>
      </c>
      <c r="AY150" s="74" t="s">
        <v>1363</v>
      </c>
      <c r="AZ150" s="74" t="s">
        <v>1289</v>
      </c>
      <c r="BA150" s="74" t="s">
        <v>1384</v>
      </c>
      <c r="BB150" s="74" t="s">
        <v>1384</v>
      </c>
      <c r="BC150" s="74" t="s">
        <v>1289</v>
      </c>
      <c r="BD150" s="74" t="s">
        <v>1445</v>
      </c>
      <c r="BJ150" s="44"/>
      <c r="BK150" s="45"/>
      <c r="BL150" s="44"/>
      <c r="BM150" s="45"/>
      <c r="BN150" s="44"/>
      <c r="BO150" s="45"/>
      <c r="BP150" s="44"/>
      <c r="BQ150" s="45"/>
      <c r="BR150" s="44"/>
      <c r="BS150">
        <v>27</v>
      </c>
      <c r="BT150" s="112" t="str">
        <f>REPLACE(INDEX(GroupVertices[Group],MATCH("~"&amp;Edges[[#This Row],[Vertex 1]],GroupVertices[Vertex],0)),1,1,"")</f>
        <v>2</v>
      </c>
      <c r="BU150" s="112" t="str">
        <f>REPLACE(INDEX(GroupVertices[Group],MATCH("~"&amp;Edges[[#This Row],[Vertex 2]],GroupVertices[Vertex],0)),1,1,"")</f>
        <v>2</v>
      </c>
    </row>
    <row r="151" spans="1:73" ht="15">
      <c r="A151" s="59" t="s">
        <v>284</v>
      </c>
      <c r="B151" s="59" t="s">
        <v>395</v>
      </c>
      <c r="C151" s="60"/>
      <c r="D151" s="61"/>
      <c r="E151" s="62"/>
      <c r="F151" s="63"/>
      <c r="G151" s="60"/>
      <c r="H151" s="64"/>
      <c r="I151" s="65"/>
      <c r="J151" s="65"/>
      <c r="K151" s="30" t="s">
        <v>65</v>
      </c>
      <c r="L151" s="72">
        <v>151</v>
      </c>
      <c r="M1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1" s="67"/>
      <c r="O151" t="s">
        <v>483</v>
      </c>
      <c r="P151" s="73">
        <v>44591.19552083333</v>
      </c>
      <c r="Q151" t="s">
        <v>596</v>
      </c>
      <c r="R151">
        <v>0</v>
      </c>
      <c r="S151">
        <v>0</v>
      </c>
      <c r="T151">
        <v>0</v>
      </c>
      <c r="U151">
        <v>0</v>
      </c>
      <c r="W151" s="74" t="s">
        <v>682</v>
      </c>
      <c r="Z151" t="s">
        <v>752</v>
      </c>
      <c r="AC151" s="74" t="s">
        <v>787</v>
      </c>
      <c r="AD151" t="s">
        <v>794</v>
      </c>
      <c r="AE151" s="75" t="str">
        <f>HYPERLINK("https://twitter.com/hudsuharg/status/1487647147185303554")</f>
        <v>https://twitter.com/hudsuharg/status/1487647147185303554</v>
      </c>
      <c r="AF151" s="73">
        <v>44591.19552083333</v>
      </c>
      <c r="AG151" s="77">
        <v>44591</v>
      </c>
      <c r="AH151" s="74" t="s">
        <v>910</v>
      </c>
      <c r="AV151" s="75" t="str">
        <f>HYPERLINK("https://pbs.twimg.com/profile_images/787179474219511810/khs5nh5C_normal.jpg")</f>
        <v>https://pbs.twimg.com/profile_images/787179474219511810/khs5nh5C_normal.jpg</v>
      </c>
      <c r="AW151" s="74" t="s">
        <v>1131</v>
      </c>
      <c r="AX151" s="74" t="s">
        <v>1294</v>
      </c>
      <c r="AY151" s="74" t="s">
        <v>1368</v>
      </c>
      <c r="AZ151" s="74" t="s">
        <v>1294</v>
      </c>
      <c r="BA151" s="74" t="s">
        <v>1384</v>
      </c>
      <c r="BB151" s="74" t="s">
        <v>1384</v>
      </c>
      <c r="BC151" s="74" t="s">
        <v>1294</v>
      </c>
      <c r="BD151" s="74" t="s">
        <v>1445</v>
      </c>
      <c r="BJ151" s="44"/>
      <c r="BK151" s="45"/>
      <c r="BL151" s="44"/>
      <c r="BM151" s="45"/>
      <c r="BN151" s="44"/>
      <c r="BO151" s="45"/>
      <c r="BP151" s="44"/>
      <c r="BQ151" s="45"/>
      <c r="BR151" s="44"/>
      <c r="BS151">
        <v>1</v>
      </c>
      <c r="BT151" s="112" t="str">
        <f>REPLACE(INDEX(GroupVertices[Group],MATCH("~"&amp;Edges[[#This Row],[Vertex 1]],GroupVertices[Vertex],0)),1,1,"")</f>
        <v>2</v>
      </c>
      <c r="BU151" s="112" t="str">
        <f>REPLACE(INDEX(GroupVertices[Group],MATCH("~"&amp;Edges[[#This Row],[Vertex 2]],GroupVertices[Vertex],0)),1,1,"")</f>
        <v>4</v>
      </c>
    </row>
    <row r="152" spans="1:73" ht="15">
      <c r="A152" s="59" t="s">
        <v>284</v>
      </c>
      <c r="B152" s="59" t="s">
        <v>394</v>
      </c>
      <c r="C152" s="60"/>
      <c r="D152" s="61"/>
      <c r="E152" s="62"/>
      <c r="F152" s="63"/>
      <c r="G152" s="60"/>
      <c r="H152" s="64"/>
      <c r="I152" s="65"/>
      <c r="J152" s="65"/>
      <c r="K152" s="30" t="s">
        <v>65</v>
      </c>
      <c r="L152" s="72">
        <v>152</v>
      </c>
      <c r="M1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2" s="67"/>
      <c r="O152" t="s">
        <v>483</v>
      </c>
      <c r="P152" s="73">
        <v>44591.19552083333</v>
      </c>
      <c r="Q152" t="s">
        <v>596</v>
      </c>
      <c r="R152">
        <v>0</v>
      </c>
      <c r="S152">
        <v>0</v>
      </c>
      <c r="T152">
        <v>0</v>
      </c>
      <c r="U152">
        <v>0</v>
      </c>
      <c r="W152" s="74" t="s">
        <v>682</v>
      </c>
      <c r="Z152" t="s">
        <v>752</v>
      </c>
      <c r="AC152" s="74" t="s">
        <v>787</v>
      </c>
      <c r="AD152" t="s">
        <v>794</v>
      </c>
      <c r="AE152" s="75" t="str">
        <f>HYPERLINK("https://twitter.com/hudsuharg/status/1487647147185303554")</f>
        <v>https://twitter.com/hudsuharg/status/1487647147185303554</v>
      </c>
      <c r="AF152" s="73">
        <v>44591.19552083333</v>
      </c>
      <c r="AG152" s="77">
        <v>44591</v>
      </c>
      <c r="AH152" s="74" t="s">
        <v>910</v>
      </c>
      <c r="AV152" s="75" t="str">
        <f>HYPERLINK("https://pbs.twimg.com/profile_images/787179474219511810/khs5nh5C_normal.jpg")</f>
        <v>https://pbs.twimg.com/profile_images/787179474219511810/khs5nh5C_normal.jpg</v>
      </c>
      <c r="AW152" s="74" t="s">
        <v>1131</v>
      </c>
      <c r="AX152" s="74" t="s">
        <v>1294</v>
      </c>
      <c r="AY152" s="74" t="s">
        <v>1368</v>
      </c>
      <c r="AZ152" s="74" t="s">
        <v>1294</v>
      </c>
      <c r="BA152" s="74" t="s">
        <v>1384</v>
      </c>
      <c r="BB152" s="74" t="s">
        <v>1384</v>
      </c>
      <c r="BC152" s="74" t="s">
        <v>1294</v>
      </c>
      <c r="BD152" s="74" t="s">
        <v>1445</v>
      </c>
      <c r="BJ152" s="44"/>
      <c r="BK152" s="45"/>
      <c r="BL152" s="44"/>
      <c r="BM152" s="45"/>
      <c r="BN152" s="44"/>
      <c r="BO152" s="45"/>
      <c r="BP152" s="44"/>
      <c r="BQ152" s="45"/>
      <c r="BR152" s="44"/>
      <c r="BS152">
        <v>1</v>
      </c>
      <c r="BT152" s="112" t="str">
        <f>REPLACE(INDEX(GroupVertices[Group],MATCH("~"&amp;Edges[[#This Row],[Vertex 1]],GroupVertices[Vertex],0)),1,1,"")</f>
        <v>2</v>
      </c>
      <c r="BU152" s="112" t="str">
        <f>REPLACE(INDEX(GroupVertices[Group],MATCH("~"&amp;Edges[[#This Row],[Vertex 2]],GroupVertices[Vertex],0)),1,1,"")</f>
        <v>8</v>
      </c>
    </row>
    <row r="153" spans="1:73" ht="15">
      <c r="A153" s="59" t="s">
        <v>284</v>
      </c>
      <c r="B153" s="59" t="s">
        <v>420</v>
      </c>
      <c r="C153" s="60"/>
      <c r="D153" s="61"/>
      <c r="E153" s="62"/>
      <c r="F153" s="63"/>
      <c r="G153" s="60"/>
      <c r="H153" s="64"/>
      <c r="I153" s="65"/>
      <c r="J153" s="65"/>
      <c r="K153" s="30" t="s">
        <v>65</v>
      </c>
      <c r="L153" s="72">
        <v>153</v>
      </c>
      <c r="M1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3" s="67"/>
      <c r="O153" t="s">
        <v>483</v>
      </c>
      <c r="P153" s="73">
        <v>44591.19552083333</v>
      </c>
      <c r="Q153" t="s">
        <v>596</v>
      </c>
      <c r="R153">
        <v>0</v>
      </c>
      <c r="S153">
        <v>0</v>
      </c>
      <c r="T153">
        <v>0</v>
      </c>
      <c r="U153">
        <v>0</v>
      </c>
      <c r="W153" s="74" t="s">
        <v>682</v>
      </c>
      <c r="Z153" t="s">
        <v>752</v>
      </c>
      <c r="AC153" s="74" t="s">
        <v>787</v>
      </c>
      <c r="AD153" t="s">
        <v>794</v>
      </c>
      <c r="AE153" s="75" t="str">
        <f>HYPERLINK("https://twitter.com/hudsuharg/status/1487647147185303554")</f>
        <v>https://twitter.com/hudsuharg/status/1487647147185303554</v>
      </c>
      <c r="AF153" s="73">
        <v>44591.19552083333</v>
      </c>
      <c r="AG153" s="77">
        <v>44591</v>
      </c>
      <c r="AH153" s="74" t="s">
        <v>910</v>
      </c>
      <c r="AV153" s="75" t="str">
        <f>HYPERLINK("https://pbs.twimg.com/profile_images/787179474219511810/khs5nh5C_normal.jpg")</f>
        <v>https://pbs.twimg.com/profile_images/787179474219511810/khs5nh5C_normal.jpg</v>
      </c>
      <c r="AW153" s="74" t="s">
        <v>1131</v>
      </c>
      <c r="AX153" s="74" t="s">
        <v>1294</v>
      </c>
      <c r="AY153" s="74" t="s">
        <v>1368</v>
      </c>
      <c r="AZ153" s="74" t="s">
        <v>1294</v>
      </c>
      <c r="BA153" s="74" t="s">
        <v>1384</v>
      </c>
      <c r="BB153" s="74" t="s">
        <v>1384</v>
      </c>
      <c r="BC153" s="74" t="s">
        <v>1294</v>
      </c>
      <c r="BD153" s="74" t="s">
        <v>1445</v>
      </c>
      <c r="BJ153" s="44"/>
      <c r="BK153" s="45"/>
      <c r="BL153" s="44"/>
      <c r="BM153" s="45"/>
      <c r="BN153" s="44"/>
      <c r="BO153" s="45"/>
      <c r="BP153" s="44"/>
      <c r="BQ153" s="45"/>
      <c r="BR153" s="44"/>
      <c r="BS153">
        <v>1</v>
      </c>
      <c r="BT153" s="112" t="str">
        <f>REPLACE(INDEX(GroupVertices[Group],MATCH("~"&amp;Edges[[#This Row],[Vertex 1]],GroupVertices[Vertex],0)),1,1,"")</f>
        <v>2</v>
      </c>
      <c r="BU153" s="112" t="str">
        <f>REPLACE(INDEX(GroupVertices[Group],MATCH("~"&amp;Edges[[#This Row],[Vertex 2]],GroupVertices[Vertex],0)),1,1,"")</f>
        <v>2</v>
      </c>
    </row>
    <row r="154" spans="1:73" ht="15">
      <c r="A154" s="59" t="s">
        <v>284</v>
      </c>
      <c r="B154" s="59" t="s">
        <v>421</v>
      </c>
      <c r="C154" s="60"/>
      <c r="D154" s="61"/>
      <c r="E154" s="62"/>
      <c r="F154" s="63"/>
      <c r="G154" s="60"/>
      <c r="H154" s="64"/>
      <c r="I154" s="65"/>
      <c r="J154" s="65"/>
      <c r="K154" s="30" t="s">
        <v>65</v>
      </c>
      <c r="L154" s="72">
        <v>154</v>
      </c>
      <c r="M1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4" s="67"/>
      <c r="O154" t="s">
        <v>482</v>
      </c>
      <c r="P154" s="73">
        <v>44591.19552083333</v>
      </c>
      <c r="Q154" t="s">
        <v>596</v>
      </c>
      <c r="R154">
        <v>0</v>
      </c>
      <c r="S154">
        <v>0</v>
      </c>
      <c r="T154">
        <v>0</v>
      </c>
      <c r="U154">
        <v>0</v>
      </c>
      <c r="W154" s="74" t="s">
        <v>682</v>
      </c>
      <c r="Z154" t="s">
        <v>752</v>
      </c>
      <c r="AC154" s="74" t="s">
        <v>787</v>
      </c>
      <c r="AD154" t="s">
        <v>794</v>
      </c>
      <c r="AE154" s="75" t="str">
        <f>HYPERLINK("https://twitter.com/hudsuharg/status/1487647147185303554")</f>
        <v>https://twitter.com/hudsuharg/status/1487647147185303554</v>
      </c>
      <c r="AF154" s="73">
        <v>44591.19552083333</v>
      </c>
      <c r="AG154" s="77">
        <v>44591</v>
      </c>
      <c r="AH154" s="74" t="s">
        <v>910</v>
      </c>
      <c r="AV154" s="75" t="str">
        <f>HYPERLINK("https://pbs.twimg.com/profile_images/787179474219511810/khs5nh5C_normal.jpg")</f>
        <v>https://pbs.twimg.com/profile_images/787179474219511810/khs5nh5C_normal.jpg</v>
      </c>
      <c r="AW154" s="74" t="s">
        <v>1131</v>
      </c>
      <c r="AX154" s="74" t="s">
        <v>1294</v>
      </c>
      <c r="AY154" s="74" t="s">
        <v>1368</v>
      </c>
      <c r="AZ154" s="74" t="s">
        <v>1294</v>
      </c>
      <c r="BA154" s="74" t="s">
        <v>1384</v>
      </c>
      <c r="BB154" s="74" t="s">
        <v>1384</v>
      </c>
      <c r="BC154" s="74" t="s">
        <v>1294</v>
      </c>
      <c r="BD154" s="74" t="s">
        <v>1445</v>
      </c>
      <c r="BJ154" s="44">
        <v>3</v>
      </c>
      <c r="BK154" s="45">
        <v>12</v>
      </c>
      <c r="BL154" s="44">
        <v>0</v>
      </c>
      <c r="BM154" s="45">
        <v>0</v>
      </c>
      <c r="BN154" s="44">
        <v>0</v>
      </c>
      <c r="BO154" s="45">
        <v>0</v>
      </c>
      <c r="BP154" s="44">
        <v>22</v>
      </c>
      <c r="BQ154" s="45">
        <v>88</v>
      </c>
      <c r="BR154" s="44">
        <v>25</v>
      </c>
      <c r="BS154">
        <v>1</v>
      </c>
      <c r="BT154" s="112" t="str">
        <f>REPLACE(INDEX(GroupVertices[Group],MATCH("~"&amp;Edges[[#This Row],[Vertex 1]],GroupVertices[Vertex],0)),1,1,"")</f>
        <v>2</v>
      </c>
      <c r="BU154" s="112" t="str">
        <f>REPLACE(INDEX(GroupVertices[Group],MATCH("~"&amp;Edges[[#This Row],[Vertex 2]],GroupVertices[Vertex],0)),1,1,"")</f>
        <v>2</v>
      </c>
    </row>
    <row r="155" spans="1:73" ht="15">
      <c r="A155" s="59" t="s">
        <v>223</v>
      </c>
      <c r="B155" s="59" t="s">
        <v>223</v>
      </c>
      <c r="C155" s="60"/>
      <c r="D155" s="61"/>
      <c r="E155" s="62"/>
      <c r="F155" s="63"/>
      <c r="G155" s="60"/>
      <c r="H155" s="64"/>
      <c r="I155" s="65"/>
      <c r="J155" s="65"/>
      <c r="K155" s="30" t="s">
        <v>65</v>
      </c>
      <c r="L155" s="72">
        <v>155</v>
      </c>
      <c r="M1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5" s="67"/>
      <c r="O155" t="s">
        <v>177</v>
      </c>
      <c r="P155" s="73">
        <v>44556.13921296296</v>
      </c>
      <c r="Q155" t="s">
        <v>597</v>
      </c>
      <c r="R155">
        <v>436</v>
      </c>
      <c r="S155">
        <v>1661</v>
      </c>
      <c r="T155">
        <v>88</v>
      </c>
      <c r="U155">
        <v>18</v>
      </c>
      <c r="X155" s="75" t="str">
        <f>HYPERLINK("https://news.detik.com/berita/d-5860072/survei-arci-804-masyarakat-jatim-ingin-presidential-threshold-0")</f>
        <v>https://news.detik.com/berita/d-5860072/survei-arci-804-masyarakat-jatim-ingin-presidential-threshold-0</v>
      </c>
      <c r="Y155" t="s">
        <v>712</v>
      </c>
      <c r="AC155" s="74" t="s">
        <v>787</v>
      </c>
      <c r="AD155" t="s">
        <v>794</v>
      </c>
      <c r="AE155" s="75" t="str">
        <f>HYPERLINK("https://twitter.com/sahabat_bangsa/status/1474943167170371584")</f>
        <v>https://twitter.com/sahabat_bangsa/status/1474943167170371584</v>
      </c>
      <c r="AF155" s="73">
        <v>44556.13921296296</v>
      </c>
      <c r="AG155" s="77">
        <v>44556</v>
      </c>
      <c r="AH155" s="74" t="s">
        <v>911</v>
      </c>
      <c r="AI155" t="b">
        <v>0</v>
      </c>
      <c r="AV155" s="75" t="str">
        <f>HYPERLINK("https://pbs.twimg.com/profile_images/1576435843790610433/sDXgLsKO_normal.jpg")</f>
        <v>https://pbs.twimg.com/profile_images/1576435843790610433/sDXgLsKO_normal.jpg</v>
      </c>
      <c r="AW155" s="74" t="s">
        <v>1132</v>
      </c>
      <c r="AX155" s="74" t="s">
        <v>1132</v>
      </c>
      <c r="AZ155" s="74" t="s">
        <v>1384</v>
      </c>
      <c r="BA155" s="74" t="s">
        <v>1384</v>
      </c>
      <c r="BB155" s="74" t="s">
        <v>1384</v>
      </c>
      <c r="BC155" s="74" t="s">
        <v>1132</v>
      </c>
      <c r="BD155">
        <v>1168746690</v>
      </c>
      <c r="BJ155" s="44">
        <v>1</v>
      </c>
      <c r="BK155" s="45">
        <v>12.5</v>
      </c>
      <c r="BL155" s="44">
        <v>0</v>
      </c>
      <c r="BM155" s="45">
        <v>0</v>
      </c>
      <c r="BN155" s="44">
        <v>0</v>
      </c>
      <c r="BO155" s="45">
        <v>0</v>
      </c>
      <c r="BP155" s="44">
        <v>7</v>
      </c>
      <c r="BQ155" s="45">
        <v>87.5</v>
      </c>
      <c r="BR155" s="44">
        <v>8</v>
      </c>
      <c r="BS155">
        <v>1</v>
      </c>
      <c r="BT155" s="112" t="str">
        <f>REPLACE(INDEX(GroupVertices[Group],MATCH("~"&amp;Edges[[#This Row],[Vertex 1]],GroupVertices[Vertex],0)),1,1,"")</f>
        <v>6</v>
      </c>
      <c r="BU155" s="112" t="str">
        <f>REPLACE(INDEX(GroupVertices[Group],MATCH("~"&amp;Edges[[#This Row],[Vertex 2]],GroupVertices[Vertex],0)),1,1,"")</f>
        <v>6</v>
      </c>
    </row>
    <row r="156" spans="1:73" ht="15">
      <c r="A156" s="59" t="s">
        <v>223</v>
      </c>
      <c r="B156" s="59" t="s">
        <v>268</v>
      </c>
      <c r="C156" s="60"/>
      <c r="D156" s="61"/>
      <c r="E156" s="62"/>
      <c r="F156" s="63"/>
      <c r="G156" s="60"/>
      <c r="H156" s="64"/>
      <c r="I156" s="65"/>
      <c r="J156" s="65"/>
      <c r="K156" s="30" t="s">
        <v>65</v>
      </c>
      <c r="L156" s="72">
        <v>156</v>
      </c>
      <c r="M1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6" s="67"/>
      <c r="O156" t="s">
        <v>481</v>
      </c>
      <c r="P156" s="73">
        <v>44669.083333333336</v>
      </c>
      <c r="Q156" t="s">
        <v>487</v>
      </c>
      <c r="R156">
        <v>32</v>
      </c>
      <c r="S156">
        <v>151</v>
      </c>
      <c r="T156">
        <v>4</v>
      </c>
      <c r="U156">
        <v>2</v>
      </c>
      <c r="Z156" t="s">
        <v>725</v>
      </c>
      <c r="AA156" t="s">
        <v>763</v>
      </c>
      <c r="AB156" t="s">
        <v>783</v>
      </c>
      <c r="AC156" s="74" t="s">
        <v>787</v>
      </c>
      <c r="AD156" t="s">
        <v>794</v>
      </c>
      <c r="AE156" s="75" t="str">
        <f>HYPERLINK("https://twitter.com/sahabat_bangsa/status/1515872745988702208")</f>
        <v>https://twitter.com/sahabat_bangsa/status/1515872745988702208</v>
      </c>
      <c r="AF156" s="73">
        <v>44669.083333333336</v>
      </c>
      <c r="AG156" s="77">
        <v>44669</v>
      </c>
      <c r="AH156" s="74" t="s">
        <v>801</v>
      </c>
      <c r="AI156" t="b">
        <v>0</v>
      </c>
      <c r="AQ156" t="s">
        <v>1001</v>
      </c>
      <c r="AV156" s="75" t="str">
        <f>HYPERLINK("https://pbs.twimg.com/media/FQl2OjBaIAA8wiF.jpg")</f>
        <v>https://pbs.twimg.com/media/FQl2OjBaIAA8wiF.jpg</v>
      </c>
      <c r="AW156" s="74" t="s">
        <v>1022</v>
      </c>
      <c r="AX156" s="74" t="s">
        <v>1022</v>
      </c>
      <c r="AZ156" s="74" t="s">
        <v>1384</v>
      </c>
      <c r="BA156" s="74" t="s">
        <v>1384</v>
      </c>
      <c r="BB156" s="74" t="s">
        <v>1384</v>
      </c>
      <c r="BC156" s="74" t="s">
        <v>1022</v>
      </c>
      <c r="BD156">
        <v>1168746690</v>
      </c>
      <c r="BJ156" s="44">
        <v>5</v>
      </c>
      <c r="BK156" s="45">
        <v>13.157894736842104</v>
      </c>
      <c r="BL156" s="44">
        <v>1</v>
      </c>
      <c r="BM156" s="45">
        <v>2.6315789473684212</v>
      </c>
      <c r="BN156" s="44">
        <v>0</v>
      </c>
      <c r="BO156" s="45">
        <v>0</v>
      </c>
      <c r="BP156" s="44">
        <v>32</v>
      </c>
      <c r="BQ156" s="45">
        <v>84.21052631578948</v>
      </c>
      <c r="BR156" s="44">
        <v>38</v>
      </c>
      <c r="BS156">
        <v>1</v>
      </c>
      <c r="BT156" s="112" t="str">
        <f>REPLACE(INDEX(GroupVertices[Group],MATCH("~"&amp;Edges[[#This Row],[Vertex 1]],GroupVertices[Vertex],0)),1,1,"")</f>
        <v>6</v>
      </c>
      <c r="BU156" s="112" t="str">
        <f>REPLACE(INDEX(GroupVertices[Group],MATCH("~"&amp;Edges[[#This Row],[Vertex 2]],GroupVertices[Vertex],0)),1,1,"")</f>
        <v>13</v>
      </c>
    </row>
    <row r="157" spans="1:73" ht="15">
      <c r="A157" s="59" t="s">
        <v>284</v>
      </c>
      <c r="B157" s="59" t="s">
        <v>223</v>
      </c>
      <c r="C157" s="60"/>
      <c r="D157" s="61"/>
      <c r="E157" s="62"/>
      <c r="F157" s="63"/>
      <c r="G157" s="60"/>
      <c r="H157" s="64"/>
      <c r="I157" s="65"/>
      <c r="J157" s="65"/>
      <c r="K157" s="30" t="s">
        <v>65</v>
      </c>
      <c r="L157" s="72">
        <v>157</v>
      </c>
      <c r="M1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7" s="67"/>
      <c r="O157" t="s">
        <v>482</v>
      </c>
      <c r="P157" s="73">
        <v>44564.37658564815</v>
      </c>
      <c r="Q157" t="s">
        <v>598</v>
      </c>
      <c r="R157">
        <v>0</v>
      </c>
      <c r="S157">
        <v>1</v>
      </c>
      <c r="T157">
        <v>0</v>
      </c>
      <c r="U157">
        <v>0</v>
      </c>
      <c r="Z157" t="s">
        <v>223</v>
      </c>
      <c r="AC157" s="74" t="s">
        <v>787</v>
      </c>
      <c r="AD157" t="s">
        <v>794</v>
      </c>
      <c r="AE157" s="75" t="str">
        <f>HYPERLINK("https://twitter.com/hudsuharg/status/1477928289683398656")</f>
        <v>https://twitter.com/hudsuharg/status/1477928289683398656</v>
      </c>
      <c r="AF157" s="73">
        <v>44564.37658564815</v>
      </c>
      <c r="AG157" s="77">
        <v>44564</v>
      </c>
      <c r="AH157" s="74" t="s">
        <v>912</v>
      </c>
      <c r="AV157" s="75" t="str">
        <f>HYPERLINK("https://pbs.twimg.com/profile_images/787179474219511810/khs5nh5C_normal.jpg")</f>
        <v>https://pbs.twimg.com/profile_images/787179474219511810/khs5nh5C_normal.jpg</v>
      </c>
      <c r="AW157" s="74" t="s">
        <v>1133</v>
      </c>
      <c r="AX157" s="74" t="s">
        <v>1295</v>
      </c>
      <c r="AY157" s="74" t="s">
        <v>1369</v>
      </c>
      <c r="AZ157" s="74" t="s">
        <v>1295</v>
      </c>
      <c r="BA157" s="74" t="s">
        <v>1384</v>
      </c>
      <c r="BB157" s="74" t="s">
        <v>1384</v>
      </c>
      <c r="BC157" s="74" t="s">
        <v>1295</v>
      </c>
      <c r="BD157" s="74" t="s">
        <v>1445</v>
      </c>
      <c r="BJ157" s="44">
        <v>3</v>
      </c>
      <c r="BK157" s="45">
        <v>75</v>
      </c>
      <c r="BL157" s="44">
        <v>0</v>
      </c>
      <c r="BM157" s="45">
        <v>0</v>
      </c>
      <c r="BN157" s="44">
        <v>0</v>
      </c>
      <c r="BO157" s="45">
        <v>0</v>
      </c>
      <c r="BP157" s="44">
        <v>1</v>
      </c>
      <c r="BQ157" s="45">
        <v>25</v>
      </c>
      <c r="BR157" s="44">
        <v>4</v>
      </c>
      <c r="BS157">
        <v>1</v>
      </c>
      <c r="BT157" s="112" t="str">
        <f>REPLACE(INDEX(GroupVertices[Group],MATCH("~"&amp;Edges[[#This Row],[Vertex 1]],GroupVertices[Vertex],0)),1,1,"")</f>
        <v>2</v>
      </c>
      <c r="BU157" s="112" t="str">
        <f>REPLACE(INDEX(GroupVertices[Group],MATCH("~"&amp;Edges[[#This Row],[Vertex 2]],GroupVertices[Vertex],0)),1,1,"")</f>
        <v>6</v>
      </c>
    </row>
    <row r="158" spans="1:73" ht="15">
      <c r="A158" s="59" t="s">
        <v>284</v>
      </c>
      <c r="B158" s="59" t="s">
        <v>422</v>
      </c>
      <c r="C158" s="60"/>
      <c r="D158" s="61"/>
      <c r="E158" s="62"/>
      <c r="F158" s="63"/>
      <c r="G158" s="60"/>
      <c r="H158" s="64"/>
      <c r="I158" s="65"/>
      <c r="J158" s="65"/>
      <c r="K158" s="30" t="s">
        <v>65</v>
      </c>
      <c r="L158" s="72">
        <v>158</v>
      </c>
      <c r="M1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8" s="67"/>
      <c r="O158" t="s">
        <v>483</v>
      </c>
      <c r="P158" s="73">
        <v>44543.875543981485</v>
      </c>
      <c r="Q158" t="s">
        <v>590</v>
      </c>
      <c r="R158">
        <v>0</v>
      </c>
      <c r="S158">
        <v>0</v>
      </c>
      <c r="T158">
        <v>0</v>
      </c>
      <c r="U158">
        <v>0</v>
      </c>
      <c r="Z158" t="s">
        <v>747</v>
      </c>
      <c r="AC158" s="74" t="s">
        <v>787</v>
      </c>
      <c r="AD158" t="s">
        <v>794</v>
      </c>
      <c r="AE158" s="75" t="str">
        <f>HYPERLINK("https://twitter.com/hudsuharg/status/1470498960720920576")</f>
        <v>https://twitter.com/hudsuharg/status/1470498960720920576</v>
      </c>
      <c r="AF158" s="73">
        <v>44543.875543981485</v>
      </c>
      <c r="AG158" s="77">
        <v>44543</v>
      </c>
      <c r="AH158" s="74" t="s">
        <v>904</v>
      </c>
      <c r="AV158" s="75" t="str">
        <f>HYPERLINK("https://pbs.twimg.com/profile_images/787179474219511810/khs5nh5C_normal.jpg")</f>
        <v>https://pbs.twimg.com/profile_images/787179474219511810/khs5nh5C_normal.jpg</v>
      </c>
      <c r="AW158" s="74" t="s">
        <v>1125</v>
      </c>
      <c r="AX158" s="74" t="s">
        <v>1289</v>
      </c>
      <c r="AY158" s="74" t="s">
        <v>1363</v>
      </c>
      <c r="AZ158" s="74" t="s">
        <v>1289</v>
      </c>
      <c r="BA158" s="74" t="s">
        <v>1384</v>
      </c>
      <c r="BB158" s="74" t="s">
        <v>1384</v>
      </c>
      <c r="BC158" s="74" t="s">
        <v>1289</v>
      </c>
      <c r="BD158" s="74" t="s">
        <v>1445</v>
      </c>
      <c r="BJ158" s="44">
        <v>3</v>
      </c>
      <c r="BK158" s="45">
        <v>9.67741935483871</v>
      </c>
      <c r="BL158" s="44">
        <v>1</v>
      </c>
      <c r="BM158" s="45">
        <v>3.225806451612903</v>
      </c>
      <c r="BN158" s="44">
        <v>0</v>
      </c>
      <c r="BO158" s="45">
        <v>0</v>
      </c>
      <c r="BP158" s="44">
        <v>27</v>
      </c>
      <c r="BQ158" s="45">
        <v>87.09677419354838</v>
      </c>
      <c r="BR158" s="44">
        <v>31</v>
      </c>
      <c r="BS158">
        <v>8</v>
      </c>
      <c r="BT158" s="112" t="str">
        <f>REPLACE(INDEX(GroupVertices[Group],MATCH("~"&amp;Edges[[#This Row],[Vertex 1]],GroupVertices[Vertex],0)),1,1,"")</f>
        <v>2</v>
      </c>
      <c r="BU158" s="112" t="str">
        <f>REPLACE(INDEX(GroupVertices[Group],MATCH("~"&amp;Edges[[#This Row],[Vertex 2]],GroupVertices[Vertex],0)),1,1,"")</f>
        <v>2</v>
      </c>
    </row>
    <row r="159" spans="1:73" ht="15">
      <c r="A159" s="59" t="s">
        <v>284</v>
      </c>
      <c r="B159" s="59" t="s">
        <v>423</v>
      </c>
      <c r="C159" s="60"/>
      <c r="D159" s="61"/>
      <c r="E159" s="62"/>
      <c r="F159" s="63"/>
      <c r="G159" s="60"/>
      <c r="H159" s="64"/>
      <c r="I159" s="65"/>
      <c r="J159" s="65"/>
      <c r="K159" s="30" t="s">
        <v>65</v>
      </c>
      <c r="L159" s="72">
        <v>159</v>
      </c>
      <c r="M1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9" s="67"/>
      <c r="O159" t="s">
        <v>482</v>
      </c>
      <c r="P159" s="73">
        <v>44612.6009837963</v>
      </c>
      <c r="Q159" t="s">
        <v>599</v>
      </c>
      <c r="R159">
        <v>0</v>
      </c>
      <c r="S159">
        <v>0</v>
      </c>
      <c r="T159">
        <v>0</v>
      </c>
      <c r="U159">
        <v>0</v>
      </c>
      <c r="Z159" t="s">
        <v>753</v>
      </c>
      <c r="AC159" s="74" t="s">
        <v>787</v>
      </c>
      <c r="AD159" t="s">
        <v>794</v>
      </c>
      <c r="AE159" s="75" t="str">
        <f>HYPERLINK("https://twitter.com/hudsuharg/status/1495404226582773763")</f>
        <v>https://twitter.com/hudsuharg/status/1495404226582773763</v>
      </c>
      <c r="AF159" s="73">
        <v>44612.6009837963</v>
      </c>
      <c r="AG159" s="77">
        <v>44612</v>
      </c>
      <c r="AH159" s="74" t="s">
        <v>913</v>
      </c>
      <c r="AV159" s="75" t="str">
        <f>HYPERLINK("https://pbs.twimg.com/profile_images/787179474219511810/khs5nh5C_normal.jpg")</f>
        <v>https://pbs.twimg.com/profile_images/787179474219511810/khs5nh5C_normal.jpg</v>
      </c>
      <c r="AW159" s="74" t="s">
        <v>1134</v>
      </c>
      <c r="AX159" s="74" t="s">
        <v>1296</v>
      </c>
      <c r="AY159" s="74" t="s">
        <v>1370</v>
      </c>
      <c r="AZ159" s="74" t="s">
        <v>1296</v>
      </c>
      <c r="BA159" s="74" t="s">
        <v>1384</v>
      </c>
      <c r="BB159" s="74" t="s">
        <v>1384</v>
      </c>
      <c r="BC159" s="74" t="s">
        <v>1296</v>
      </c>
      <c r="BD159" s="74" t="s">
        <v>1445</v>
      </c>
      <c r="BJ159" s="44">
        <v>4</v>
      </c>
      <c r="BK159" s="45">
        <v>57.142857142857146</v>
      </c>
      <c r="BL159" s="44">
        <v>0</v>
      </c>
      <c r="BM159" s="45">
        <v>0</v>
      </c>
      <c r="BN159" s="44">
        <v>0</v>
      </c>
      <c r="BO159" s="45">
        <v>0</v>
      </c>
      <c r="BP159" s="44">
        <v>3</v>
      </c>
      <c r="BQ159" s="45">
        <v>42.857142857142854</v>
      </c>
      <c r="BR159" s="44">
        <v>7</v>
      </c>
      <c r="BS159">
        <v>1</v>
      </c>
      <c r="BT159" s="112" t="str">
        <f>REPLACE(INDEX(GroupVertices[Group],MATCH("~"&amp;Edges[[#This Row],[Vertex 1]],GroupVertices[Vertex],0)),1,1,"")</f>
        <v>2</v>
      </c>
      <c r="BU159" s="112" t="str">
        <f>REPLACE(INDEX(GroupVertices[Group],MATCH("~"&amp;Edges[[#This Row],[Vertex 2]],GroupVertices[Vertex],0)),1,1,"")</f>
        <v>2</v>
      </c>
    </row>
    <row r="160" spans="1:73" ht="15">
      <c r="A160" s="59" t="s">
        <v>284</v>
      </c>
      <c r="B160" s="59" t="s">
        <v>389</v>
      </c>
      <c r="C160" s="60"/>
      <c r="D160" s="61"/>
      <c r="E160" s="62"/>
      <c r="F160" s="63"/>
      <c r="G160" s="60"/>
      <c r="H160" s="64"/>
      <c r="I160" s="65"/>
      <c r="J160" s="65"/>
      <c r="K160" s="30" t="s">
        <v>65</v>
      </c>
      <c r="L160" s="72">
        <v>160</v>
      </c>
      <c r="M1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0" s="67"/>
      <c r="O160" t="s">
        <v>483</v>
      </c>
      <c r="P160" s="73">
        <v>44543.875543981485</v>
      </c>
      <c r="Q160" t="s">
        <v>590</v>
      </c>
      <c r="R160">
        <v>0</v>
      </c>
      <c r="S160">
        <v>0</v>
      </c>
      <c r="T160">
        <v>0</v>
      </c>
      <c r="U160">
        <v>0</v>
      </c>
      <c r="Z160" t="s">
        <v>747</v>
      </c>
      <c r="AC160" s="74" t="s">
        <v>787</v>
      </c>
      <c r="AD160" t="s">
        <v>794</v>
      </c>
      <c r="AE160" s="75" t="str">
        <f>HYPERLINK("https://twitter.com/hudsuharg/status/1470498960720920576")</f>
        <v>https://twitter.com/hudsuharg/status/1470498960720920576</v>
      </c>
      <c r="AF160" s="73">
        <v>44543.875543981485</v>
      </c>
      <c r="AG160" s="77">
        <v>44543</v>
      </c>
      <c r="AH160" s="74" t="s">
        <v>904</v>
      </c>
      <c r="AV160" s="75" t="str">
        <f>HYPERLINK("https://pbs.twimg.com/profile_images/787179474219511810/khs5nh5C_normal.jpg")</f>
        <v>https://pbs.twimg.com/profile_images/787179474219511810/khs5nh5C_normal.jpg</v>
      </c>
      <c r="AW160" s="74" t="s">
        <v>1125</v>
      </c>
      <c r="AX160" s="74" t="s">
        <v>1289</v>
      </c>
      <c r="AY160" s="74" t="s">
        <v>1363</v>
      </c>
      <c r="AZ160" s="74" t="s">
        <v>1289</v>
      </c>
      <c r="BA160" s="74" t="s">
        <v>1384</v>
      </c>
      <c r="BB160" s="74" t="s">
        <v>1384</v>
      </c>
      <c r="BC160" s="74" t="s">
        <v>1289</v>
      </c>
      <c r="BD160" s="74" t="s">
        <v>1445</v>
      </c>
      <c r="BJ160" s="44"/>
      <c r="BK160" s="45"/>
      <c r="BL160" s="44"/>
      <c r="BM160" s="45"/>
      <c r="BN160" s="44"/>
      <c r="BO160" s="45"/>
      <c r="BP160" s="44"/>
      <c r="BQ160" s="45"/>
      <c r="BR160" s="44"/>
      <c r="BS160">
        <v>8</v>
      </c>
      <c r="BT160" s="112" t="str">
        <f>REPLACE(INDEX(GroupVertices[Group],MATCH("~"&amp;Edges[[#This Row],[Vertex 1]],GroupVertices[Vertex],0)),1,1,"")</f>
        <v>2</v>
      </c>
      <c r="BU160" s="112" t="str">
        <f>REPLACE(INDEX(GroupVertices[Group],MATCH("~"&amp;Edges[[#This Row],[Vertex 2]],GroupVertices[Vertex],0)),1,1,"")</f>
        <v>10</v>
      </c>
    </row>
    <row r="161" spans="1:73" ht="15">
      <c r="A161" s="59" t="s">
        <v>284</v>
      </c>
      <c r="B161" s="59" t="s">
        <v>387</v>
      </c>
      <c r="C161" s="60"/>
      <c r="D161" s="61"/>
      <c r="E161" s="62"/>
      <c r="F161" s="63"/>
      <c r="G161" s="60"/>
      <c r="H161" s="64"/>
      <c r="I161" s="65"/>
      <c r="J161" s="65"/>
      <c r="K161" s="30" t="s">
        <v>65</v>
      </c>
      <c r="L161" s="72">
        <v>161</v>
      </c>
      <c r="M1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1" s="67"/>
      <c r="O161" t="s">
        <v>483</v>
      </c>
      <c r="P161" s="73">
        <v>44570.02612268519</v>
      </c>
      <c r="Q161" t="s">
        <v>600</v>
      </c>
      <c r="R161">
        <v>0</v>
      </c>
      <c r="S161">
        <v>0</v>
      </c>
      <c r="T161">
        <v>0</v>
      </c>
      <c r="U161">
        <v>0</v>
      </c>
      <c r="Z161" t="s">
        <v>754</v>
      </c>
      <c r="AC161" s="74" t="s">
        <v>787</v>
      </c>
      <c r="AD161" t="s">
        <v>794</v>
      </c>
      <c r="AE161" s="75" t="str">
        <f>HYPERLINK("https://twitter.com/hudsuharg/status/1479975612764753922")</f>
        <v>https://twitter.com/hudsuharg/status/1479975612764753922</v>
      </c>
      <c r="AF161" s="73">
        <v>44570.02612268519</v>
      </c>
      <c r="AG161" s="77">
        <v>44570</v>
      </c>
      <c r="AH161" s="74" t="s">
        <v>914</v>
      </c>
      <c r="AV161" s="75" t="str">
        <f>HYPERLINK("https://pbs.twimg.com/profile_images/787179474219511810/khs5nh5C_normal.jpg")</f>
        <v>https://pbs.twimg.com/profile_images/787179474219511810/khs5nh5C_normal.jpg</v>
      </c>
      <c r="AW161" s="74" t="s">
        <v>1135</v>
      </c>
      <c r="AX161" s="74" t="s">
        <v>1297</v>
      </c>
      <c r="AY161" s="74" t="s">
        <v>1371</v>
      </c>
      <c r="AZ161" s="74" t="s">
        <v>1297</v>
      </c>
      <c r="BA161" s="74" t="s">
        <v>1384</v>
      </c>
      <c r="BB161" s="74" t="s">
        <v>1384</v>
      </c>
      <c r="BC161" s="74" t="s">
        <v>1297</v>
      </c>
      <c r="BD161" s="74" t="s">
        <v>1445</v>
      </c>
      <c r="BJ161" s="44"/>
      <c r="BK161" s="45"/>
      <c r="BL161" s="44"/>
      <c r="BM161" s="45"/>
      <c r="BN161" s="44"/>
      <c r="BO161" s="45"/>
      <c r="BP161" s="44"/>
      <c r="BQ161" s="45"/>
      <c r="BR161" s="44"/>
      <c r="BS161">
        <v>1</v>
      </c>
      <c r="BT161" s="112" t="str">
        <f>REPLACE(INDEX(GroupVertices[Group],MATCH("~"&amp;Edges[[#This Row],[Vertex 1]],GroupVertices[Vertex],0)),1,1,"")</f>
        <v>2</v>
      </c>
      <c r="BU161" s="112" t="str">
        <f>REPLACE(INDEX(GroupVertices[Group],MATCH("~"&amp;Edges[[#This Row],[Vertex 2]],GroupVertices[Vertex],0)),1,1,"")</f>
        <v>10</v>
      </c>
    </row>
    <row r="162" spans="1:73" ht="15">
      <c r="A162" s="59" t="s">
        <v>284</v>
      </c>
      <c r="B162" s="59" t="s">
        <v>424</v>
      </c>
      <c r="C162" s="60"/>
      <c r="D162" s="61"/>
      <c r="E162" s="62"/>
      <c r="F162" s="63"/>
      <c r="G162" s="60"/>
      <c r="H162" s="64"/>
      <c r="I162" s="65"/>
      <c r="J162" s="65"/>
      <c r="K162" s="30" t="s">
        <v>65</v>
      </c>
      <c r="L162" s="72">
        <v>162</v>
      </c>
      <c r="M1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2" s="67"/>
      <c r="O162" t="s">
        <v>483</v>
      </c>
      <c r="P162" s="73">
        <v>44545.644166666665</v>
      </c>
      <c r="Q162" t="s">
        <v>601</v>
      </c>
      <c r="R162">
        <v>0</v>
      </c>
      <c r="S162">
        <v>0</v>
      </c>
      <c r="T162">
        <v>0</v>
      </c>
      <c r="U162">
        <v>0</v>
      </c>
      <c r="Z162" t="s">
        <v>755</v>
      </c>
      <c r="AC162" s="74" t="s">
        <v>787</v>
      </c>
      <c r="AD162" t="s">
        <v>794</v>
      </c>
      <c r="AE162" s="75" t="str">
        <f>HYPERLINK("https://twitter.com/hudsuharg/status/1471139886400892933")</f>
        <v>https://twitter.com/hudsuharg/status/1471139886400892933</v>
      </c>
      <c r="AF162" s="73">
        <v>44545.644166666665</v>
      </c>
      <c r="AG162" s="77">
        <v>44545</v>
      </c>
      <c r="AH162" s="74" t="s">
        <v>915</v>
      </c>
      <c r="AV162" s="75" t="str">
        <f>HYPERLINK("https://pbs.twimg.com/profile_images/787179474219511810/khs5nh5C_normal.jpg")</f>
        <v>https://pbs.twimg.com/profile_images/787179474219511810/khs5nh5C_normal.jpg</v>
      </c>
      <c r="AW162" s="74" t="s">
        <v>1136</v>
      </c>
      <c r="AX162" s="74" t="s">
        <v>1298</v>
      </c>
      <c r="AY162" s="74" t="s">
        <v>1372</v>
      </c>
      <c r="AZ162" s="74" t="s">
        <v>1298</v>
      </c>
      <c r="BA162" s="74" t="s">
        <v>1384</v>
      </c>
      <c r="BB162" s="74" t="s">
        <v>1384</v>
      </c>
      <c r="BC162" s="74" t="s">
        <v>1298</v>
      </c>
      <c r="BD162" s="74" t="s">
        <v>1445</v>
      </c>
      <c r="BJ162" s="44">
        <v>5</v>
      </c>
      <c r="BK162" s="45">
        <v>21.73913043478261</v>
      </c>
      <c r="BL162" s="44">
        <v>0</v>
      </c>
      <c r="BM162" s="45">
        <v>0</v>
      </c>
      <c r="BN162" s="44">
        <v>0</v>
      </c>
      <c r="BO162" s="45">
        <v>0</v>
      </c>
      <c r="BP162" s="44">
        <v>18</v>
      </c>
      <c r="BQ162" s="45">
        <v>78.26086956521739</v>
      </c>
      <c r="BR162" s="44">
        <v>23</v>
      </c>
      <c r="BS162">
        <v>8</v>
      </c>
      <c r="BT162" s="112" t="str">
        <f>REPLACE(INDEX(GroupVertices[Group],MATCH("~"&amp;Edges[[#This Row],[Vertex 1]],GroupVertices[Vertex],0)),1,1,"")</f>
        <v>2</v>
      </c>
      <c r="BU162" s="112" t="str">
        <f>REPLACE(INDEX(GroupVertices[Group],MATCH("~"&amp;Edges[[#This Row],[Vertex 2]],GroupVertices[Vertex],0)),1,1,"")</f>
        <v>2</v>
      </c>
    </row>
    <row r="163" spans="1:73" ht="15">
      <c r="A163" s="59" t="s">
        <v>284</v>
      </c>
      <c r="B163" s="59" t="s">
        <v>341</v>
      </c>
      <c r="C163" s="60"/>
      <c r="D163" s="61"/>
      <c r="E163" s="62"/>
      <c r="F163" s="63"/>
      <c r="G163" s="60"/>
      <c r="H163" s="64"/>
      <c r="I163" s="65"/>
      <c r="J163" s="65"/>
      <c r="K163" s="30" t="s">
        <v>65</v>
      </c>
      <c r="L163" s="72">
        <v>163</v>
      </c>
      <c r="M1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3" s="67"/>
      <c r="O163" t="s">
        <v>483</v>
      </c>
      <c r="P163" s="73">
        <v>44543.875543981485</v>
      </c>
      <c r="Q163" t="s">
        <v>590</v>
      </c>
      <c r="R163">
        <v>0</v>
      </c>
      <c r="S163">
        <v>0</v>
      </c>
      <c r="T163">
        <v>0</v>
      </c>
      <c r="U163">
        <v>0</v>
      </c>
      <c r="Z163" t="s">
        <v>747</v>
      </c>
      <c r="AC163" s="74" t="s">
        <v>787</v>
      </c>
      <c r="AD163" t="s">
        <v>794</v>
      </c>
      <c r="AE163" s="75" t="str">
        <f>HYPERLINK("https://twitter.com/hudsuharg/status/1470498960720920576")</f>
        <v>https://twitter.com/hudsuharg/status/1470498960720920576</v>
      </c>
      <c r="AF163" s="73">
        <v>44543.875543981485</v>
      </c>
      <c r="AG163" s="77">
        <v>44543</v>
      </c>
      <c r="AH163" s="74" t="s">
        <v>904</v>
      </c>
      <c r="AV163" s="75" t="str">
        <f>HYPERLINK("https://pbs.twimg.com/profile_images/787179474219511810/khs5nh5C_normal.jpg")</f>
        <v>https://pbs.twimg.com/profile_images/787179474219511810/khs5nh5C_normal.jpg</v>
      </c>
      <c r="AW163" s="74" t="s">
        <v>1125</v>
      </c>
      <c r="AX163" s="74" t="s">
        <v>1289</v>
      </c>
      <c r="AY163" s="74" t="s">
        <v>1363</v>
      </c>
      <c r="AZ163" s="74" t="s">
        <v>1289</v>
      </c>
      <c r="BA163" s="74" t="s">
        <v>1384</v>
      </c>
      <c r="BB163" s="74" t="s">
        <v>1384</v>
      </c>
      <c r="BC163" s="74" t="s">
        <v>1289</v>
      </c>
      <c r="BD163" s="74" t="s">
        <v>1445</v>
      </c>
      <c r="BJ163" s="44"/>
      <c r="BK163" s="45"/>
      <c r="BL163" s="44"/>
      <c r="BM163" s="45"/>
      <c r="BN163" s="44"/>
      <c r="BO163" s="45"/>
      <c r="BP163" s="44"/>
      <c r="BQ163" s="45"/>
      <c r="BR163" s="44"/>
      <c r="BS163">
        <v>8</v>
      </c>
      <c r="BT163" s="112" t="str">
        <f>REPLACE(INDEX(GroupVertices[Group],MATCH("~"&amp;Edges[[#This Row],[Vertex 1]],GroupVertices[Vertex],0)),1,1,"")</f>
        <v>2</v>
      </c>
      <c r="BU163" s="112" t="str">
        <f>REPLACE(INDEX(GroupVertices[Group],MATCH("~"&amp;Edges[[#This Row],[Vertex 2]],GroupVertices[Vertex],0)),1,1,"")</f>
        <v>6</v>
      </c>
    </row>
    <row r="164" spans="1:73" ht="15">
      <c r="A164" s="59" t="s">
        <v>284</v>
      </c>
      <c r="B164" s="59" t="s">
        <v>268</v>
      </c>
      <c r="C164" s="60"/>
      <c r="D164" s="61"/>
      <c r="E164" s="62"/>
      <c r="F164" s="63"/>
      <c r="G164" s="60"/>
      <c r="H164" s="64"/>
      <c r="I164" s="65"/>
      <c r="J164" s="65"/>
      <c r="K164" s="30" t="s">
        <v>65</v>
      </c>
      <c r="L164" s="72">
        <v>164</v>
      </c>
      <c r="M1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4" s="67"/>
      <c r="O164" t="s">
        <v>483</v>
      </c>
      <c r="P164" s="73">
        <v>44542.076516203706</v>
      </c>
      <c r="Q164" t="s">
        <v>595</v>
      </c>
      <c r="R164">
        <v>0</v>
      </c>
      <c r="S164">
        <v>1</v>
      </c>
      <c r="T164">
        <v>0</v>
      </c>
      <c r="U164">
        <v>0</v>
      </c>
      <c r="Z164" t="s">
        <v>751</v>
      </c>
      <c r="AC164" s="74" t="s">
        <v>787</v>
      </c>
      <c r="AD164" t="s">
        <v>794</v>
      </c>
      <c r="AE164" s="75" t="str">
        <f>HYPERLINK("https://twitter.com/hudsuharg/status/1469847013780967424")</f>
        <v>https://twitter.com/hudsuharg/status/1469847013780967424</v>
      </c>
      <c r="AF164" s="73">
        <v>44542.076516203706</v>
      </c>
      <c r="AG164" s="77">
        <v>44542</v>
      </c>
      <c r="AH164" s="74" t="s">
        <v>909</v>
      </c>
      <c r="AV164" s="75" t="str">
        <f>HYPERLINK("https://pbs.twimg.com/profile_images/787179474219511810/khs5nh5C_normal.jpg")</f>
        <v>https://pbs.twimg.com/profile_images/787179474219511810/khs5nh5C_normal.jpg</v>
      </c>
      <c r="AW164" s="74" t="s">
        <v>1130</v>
      </c>
      <c r="AX164" s="74" t="s">
        <v>1293</v>
      </c>
      <c r="AY164" s="74" t="s">
        <v>1367</v>
      </c>
      <c r="AZ164" s="74" t="s">
        <v>1293</v>
      </c>
      <c r="BA164" s="74" t="s">
        <v>1384</v>
      </c>
      <c r="BB164" s="74" t="s">
        <v>1384</v>
      </c>
      <c r="BC164" s="74" t="s">
        <v>1293</v>
      </c>
      <c r="BD164" s="74" t="s">
        <v>1445</v>
      </c>
      <c r="BJ164" s="44"/>
      <c r="BK164" s="45"/>
      <c r="BL164" s="44"/>
      <c r="BM164" s="45"/>
      <c r="BN164" s="44"/>
      <c r="BO164" s="45"/>
      <c r="BP164" s="44"/>
      <c r="BQ164" s="45"/>
      <c r="BR164" s="44"/>
      <c r="BS164">
        <v>8</v>
      </c>
      <c r="BT164" s="112" t="str">
        <f>REPLACE(INDEX(GroupVertices[Group],MATCH("~"&amp;Edges[[#This Row],[Vertex 1]],GroupVertices[Vertex],0)),1,1,"")</f>
        <v>2</v>
      </c>
      <c r="BU164" s="112" t="str">
        <f>REPLACE(INDEX(GroupVertices[Group],MATCH("~"&amp;Edges[[#This Row],[Vertex 2]],GroupVertices[Vertex],0)),1,1,"")</f>
        <v>13</v>
      </c>
    </row>
    <row r="165" spans="1:73" ht="15">
      <c r="A165" s="59" t="s">
        <v>284</v>
      </c>
      <c r="B165" s="59" t="s">
        <v>318</v>
      </c>
      <c r="C165" s="60"/>
      <c r="D165" s="61"/>
      <c r="E165" s="62"/>
      <c r="F165" s="63"/>
      <c r="G165" s="60"/>
      <c r="H165" s="64"/>
      <c r="I165" s="65"/>
      <c r="J165" s="65"/>
      <c r="K165" s="30" t="s">
        <v>65</v>
      </c>
      <c r="L165" s="72">
        <v>165</v>
      </c>
      <c r="M1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5" s="67"/>
      <c r="O165" t="s">
        <v>483</v>
      </c>
      <c r="P165" s="73">
        <v>44542.076516203706</v>
      </c>
      <c r="Q165" t="s">
        <v>595</v>
      </c>
      <c r="R165">
        <v>0</v>
      </c>
      <c r="S165">
        <v>1</v>
      </c>
      <c r="T165">
        <v>0</v>
      </c>
      <c r="U165">
        <v>0</v>
      </c>
      <c r="Z165" t="s">
        <v>751</v>
      </c>
      <c r="AC165" s="74" t="s">
        <v>787</v>
      </c>
      <c r="AD165" t="s">
        <v>794</v>
      </c>
      <c r="AE165" s="75" t="str">
        <f>HYPERLINK("https://twitter.com/hudsuharg/status/1469847013780967424")</f>
        <v>https://twitter.com/hudsuharg/status/1469847013780967424</v>
      </c>
      <c r="AF165" s="73">
        <v>44542.076516203706</v>
      </c>
      <c r="AG165" s="77">
        <v>44542</v>
      </c>
      <c r="AH165" s="74" t="s">
        <v>909</v>
      </c>
      <c r="AV165" s="75" t="str">
        <f>HYPERLINK("https://pbs.twimg.com/profile_images/787179474219511810/khs5nh5C_normal.jpg")</f>
        <v>https://pbs.twimg.com/profile_images/787179474219511810/khs5nh5C_normal.jpg</v>
      </c>
      <c r="AW165" s="74" t="s">
        <v>1130</v>
      </c>
      <c r="AX165" s="74" t="s">
        <v>1293</v>
      </c>
      <c r="AY165" s="74" t="s">
        <v>1367</v>
      </c>
      <c r="AZ165" s="74" t="s">
        <v>1293</v>
      </c>
      <c r="BA165" s="74" t="s">
        <v>1384</v>
      </c>
      <c r="BB165" s="74" t="s">
        <v>1384</v>
      </c>
      <c r="BC165" s="74" t="s">
        <v>1293</v>
      </c>
      <c r="BD165" s="74" t="s">
        <v>1445</v>
      </c>
      <c r="BJ165" s="44"/>
      <c r="BK165" s="45"/>
      <c r="BL165" s="44"/>
      <c r="BM165" s="45"/>
      <c r="BN165" s="44"/>
      <c r="BO165" s="45"/>
      <c r="BP165" s="44"/>
      <c r="BQ165" s="45"/>
      <c r="BR165" s="44"/>
      <c r="BS165">
        <v>8</v>
      </c>
      <c r="BT165" s="112" t="str">
        <f>REPLACE(INDEX(GroupVertices[Group],MATCH("~"&amp;Edges[[#This Row],[Vertex 1]],GroupVertices[Vertex],0)),1,1,"")</f>
        <v>2</v>
      </c>
      <c r="BU165" s="112" t="str">
        <f>REPLACE(INDEX(GroupVertices[Group],MATCH("~"&amp;Edges[[#This Row],[Vertex 2]],GroupVertices[Vertex],0)),1,1,"")</f>
        <v>9</v>
      </c>
    </row>
    <row r="166" spans="1:73" ht="15">
      <c r="A166" s="59" t="s">
        <v>284</v>
      </c>
      <c r="B166" s="59" t="s">
        <v>270</v>
      </c>
      <c r="C166" s="60"/>
      <c r="D166" s="61"/>
      <c r="E166" s="62"/>
      <c r="F166" s="63"/>
      <c r="G166" s="60"/>
      <c r="H166" s="64"/>
      <c r="I166" s="65"/>
      <c r="J166" s="65"/>
      <c r="K166" s="30" t="s">
        <v>65</v>
      </c>
      <c r="L166" s="72">
        <v>166</v>
      </c>
      <c r="M1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6" s="67"/>
      <c r="O166" t="s">
        <v>482</v>
      </c>
      <c r="P166" s="73">
        <v>44570.02612268519</v>
      </c>
      <c r="Q166" t="s">
        <v>600</v>
      </c>
      <c r="R166">
        <v>0</v>
      </c>
      <c r="S166">
        <v>0</v>
      </c>
      <c r="T166">
        <v>0</v>
      </c>
      <c r="U166">
        <v>0</v>
      </c>
      <c r="Z166" t="s">
        <v>754</v>
      </c>
      <c r="AC166" s="74" t="s">
        <v>787</v>
      </c>
      <c r="AD166" t="s">
        <v>794</v>
      </c>
      <c r="AE166" s="75" t="str">
        <f>HYPERLINK("https://twitter.com/hudsuharg/status/1479975612764753922")</f>
        <v>https://twitter.com/hudsuharg/status/1479975612764753922</v>
      </c>
      <c r="AF166" s="73">
        <v>44570.02612268519</v>
      </c>
      <c r="AG166" s="77">
        <v>44570</v>
      </c>
      <c r="AH166" s="74" t="s">
        <v>914</v>
      </c>
      <c r="AV166" s="75" t="str">
        <f>HYPERLINK("https://pbs.twimg.com/profile_images/787179474219511810/khs5nh5C_normal.jpg")</f>
        <v>https://pbs.twimg.com/profile_images/787179474219511810/khs5nh5C_normal.jpg</v>
      </c>
      <c r="AW166" s="74" t="s">
        <v>1135</v>
      </c>
      <c r="AX166" s="74" t="s">
        <v>1297</v>
      </c>
      <c r="AY166" s="74" t="s">
        <v>1371</v>
      </c>
      <c r="AZ166" s="74" t="s">
        <v>1297</v>
      </c>
      <c r="BA166" s="74" t="s">
        <v>1384</v>
      </c>
      <c r="BB166" s="74" t="s">
        <v>1384</v>
      </c>
      <c r="BC166" s="74" t="s">
        <v>1297</v>
      </c>
      <c r="BD166" s="74" t="s">
        <v>1445</v>
      </c>
      <c r="BJ166" s="44">
        <v>5</v>
      </c>
      <c r="BK166" s="45">
        <v>22.727272727272727</v>
      </c>
      <c r="BL166" s="44">
        <v>0</v>
      </c>
      <c r="BM166" s="45">
        <v>0</v>
      </c>
      <c r="BN166" s="44">
        <v>0</v>
      </c>
      <c r="BO166" s="45">
        <v>0</v>
      </c>
      <c r="BP166" s="44">
        <v>17</v>
      </c>
      <c r="BQ166" s="45">
        <v>77.27272727272727</v>
      </c>
      <c r="BR166" s="44">
        <v>22</v>
      </c>
      <c r="BS166">
        <v>1</v>
      </c>
      <c r="BT166" s="112" t="str">
        <f>REPLACE(INDEX(GroupVertices[Group],MATCH("~"&amp;Edges[[#This Row],[Vertex 1]],GroupVertices[Vertex],0)),1,1,"")</f>
        <v>2</v>
      </c>
      <c r="BU166" s="112" t="str">
        <f>REPLACE(INDEX(GroupVertices[Group],MATCH("~"&amp;Edges[[#This Row],[Vertex 2]],GroupVertices[Vertex],0)),1,1,"")</f>
        <v>10</v>
      </c>
    </row>
    <row r="167" spans="1:73" ht="15">
      <c r="A167" s="59" t="s">
        <v>285</v>
      </c>
      <c r="B167" s="59" t="s">
        <v>285</v>
      </c>
      <c r="C167" s="60"/>
      <c r="D167" s="61"/>
      <c r="E167" s="62"/>
      <c r="F167" s="63"/>
      <c r="G167" s="60"/>
      <c r="H167" s="64"/>
      <c r="I167" s="65"/>
      <c r="J167" s="65"/>
      <c r="K167" s="30" t="s">
        <v>65</v>
      </c>
      <c r="L167" s="72">
        <v>167</v>
      </c>
      <c r="M1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7" s="67"/>
      <c r="O167" t="s">
        <v>177</v>
      </c>
      <c r="P167" s="73">
        <v>44571.53487268519</v>
      </c>
      <c r="Q167" t="s">
        <v>602</v>
      </c>
      <c r="R167">
        <v>0</v>
      </c>
      <c r="S167">
        <v>0</v>
      </c>
      <c r="T167">
        <v>0</v>
      </c>
      <c r="U167">
        <v>0</v>
      </c>
      <c r="W167" s="74" t="s">
        <v>684</v>
      </c>
      <c r="AA167" t="s">
        <v>772</v>
      </c>
      <c r="AB167" t="s">
        <v>783</v>
      </c>
      <c r="AC167" s="74" t="s">
        <v>787</v>
      </c>
      <c r="AD167" t="s">
        <v>798</v>
      </c>
      <c r="AE167" s="75" t="str">
        <f>HYPERLINK("https://twitter.com/akmal16982665/status/1480522365876379650")</f>
        <v>https://twitter.com/akmal16982665/status/1480522365876379650</v>
      </c>
      <c r="AF167" s="73">
        <v>44571.53487268519</v>
      </c>
      <c r="AG167" s="77">
        <v>44571</v>
      </c>
      <c r="AH167" s="74" t="s">
        <v>916</v>
      </c>
      <c r="AI167" t="b">
        <v>0</v>
      </c>
      <c r="AQ167" t="s">
        <v>1010</v>
      </c>
      <c r="AV167" s="75" t="str">
        <f>HYPERLINK("https://pbs.twimg.com/media/FIvfPd5UYAA6OCS.jpg")</f>
        <v>https://pbs.twimg.com/media/FIvfPd5UYAA6OCS.jpg</v>
      </c>
      <c r="AW167" s="74" t="s">
        <v>1137</v>
      </c>
      <c r="AX167" s="74" t="s">
        <v>1137</v>
      </c>
      <c r="AZ167" s="74" t="s">
        <v>1384</v>
      </c>
      <c r="BA167" s="74" t="s">
        <v>1384</v>
      </c>
      <c r="BB167" s="74" t="s">
        <v>1384</v>
      </c>
      <c r="BC167" s="74" t="s">
        <v>1137</v>
      </c>
      <c r="BD167" s="74" t="s">
        <v>1446</v>
      </c>
      <c r="BJ167" s="44">
        <v>0</v>
      </c>
      <c r="BK167" s="45">
        <v>0</v>
      </c>
      <c r="BL167" s="44">
        <v>0</v>
      </c>
      <c r="BM167" s="45">
        <v>0</v>
      </c>
      <c r="BN167" s="44">
        <v>0</v>
      </c>
      <c r="BO167" s="45">
        <v>0</v>
      </c>
      <c r="BP167" s="44">
        <v>2</v>
      </c>
      <c r="BQ167" s="45">
        <v>100</v>
      </c>
      <c r="BR167" s="44">
        <v>2</v>
      </c>
      <c r="BS167">
        <v>1</v>
      </c>
      <c r="BT167" s="112" t="str">
        <f>REPLACE(INDEX(GroupVertices[Group],MATCH("~"&amp;Edges[[#This Row],[Vertex 1]],GroupVertices[Vertex],0)),1,1,"")</f>
        <v>3</v>
      </c>
      <c r="BU167" s="112" t="str">
        <f>REPLACE(INDEX(GroupVertices[Group],MATCH("~"&amp;Edges[[#This Row],[Vertex 2]],GroupVertices[Vertex],0)),1,1,"")</f>
        <v>3</v>
      </c>
    </row>
    <row r="168" spans="1:73" ht="15">
      <c r="A168" s="59" t="s">
        <v>286</v>
      </c>
      <c r="B168" s="59" t="s">
        <v>286</v>
      </c>
      <c r="C168" s="60"/>
      <c r="D168" s="61"/>
      <c r="E168" s="62"/>
      <c r="F168" s="63"/>
      <c r="G168" s="60"/>
      <c r="H168" s="64"/>
      <c r="I168" s="65"/>
      <c r="J168" s="65"/>
      <c r="K168" s="30" t="s">
        <v>65</v>
      </c>
      <c r="L168" s="72">
        <v>168</v>
      </c>
      <c r="M1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8" s="67"/>
      <c r="O168" t="s">
        <v>177</v>
      </c>
      <c r="P168" s="73">
        <v>44537.50508101852</v>
      </c>
      <c r="Q168" t="s">
        <v>603</v>
      </c>
      <c r="R168">
        <v>3</v>
      </c>
      <c r="S168">
        <v>4</v>
      </c>
      <c r="T168">
        <v>0</v>
      </c>
      <c r="U168">
        <v>0</v>
      </c>
      <c r="W168" s="74" t="s">
        <v>695</v>
      </c>
      <c r="X168"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68" t="s">
        <v>709</v>
      </c>
      <c r="AC168" s="74" t="s">
        <v>791</v>
      </c>
      <c r="AD168" t="s">
        <v>794</v>
      </c>
      <c r="AE168" s="75" t="str">
        <f>HYPERLINK("https://twitter.com/sindonews/status/1468190384509440001")</f>
        <v>https://twitter.com/sindonews/status/1468190384509440001</v>
      </c>
      <c r="AF168" s="73">
        <v>44537.50508101852</v>
      </c>
      <c r="AG168" s="77">
        <v>44537</v>
      </c>
      <c r="AH168" s="74" t="s">
        <v>917</v>
      </c>
      <c r="AI168" t="b">
        <v>0</v>
      </c>
      <c r="AV168" s="75" t="str">
        <f>HYPERLINK("https://pbs.twimg.com/profile_images/1657283286463582209/-8HSjERq_normal.jpg")</f>
        <v>https://pbs.twimg.com/profile_images/1657283286463582209/-8HSjERq_normal.jpg</v>
      </c>
      <c r="AW168" s="74" t="s">
        <v>1138</v>
      </c>
      <c r="AX168" s="74" t="s">
        <v>1138</v>
      </c>
      <c r="AZ168" s="74" t="s">
        <v>1384</v>
      </c>
      <c r="BA168" s="74" t="s">
        <v>1384</v>
      </c>
      <c r="BB168" s="74" t="s">
        <v>1384</v>
      </c>
      <c r="BC168" s="74" t="s">
        <v>1138</v>
      </c>
      <c r="BD168">
        <v>231355136</v>
      </c>
      <c r="BJ168" s="44">
        <v>3</v>
      </c>
      <c r="BK168" s="45">
        <v>15</v>
      </c>
      <c r="BL168" s="44">
        <v>1</v>
      </c>
      <c r="BM168" s="45">
        <v>5</v>
      </c>
      <c r="BN168" s="44">
        <v>0</v>
      </c>
      <c r="BO168" s="45">
        <v>0</v>
      </c>
      <c r="BP168" s="44">
        <v>16</v>
      </c>
      <c r="BQ168" s="45">
        <v>80</v>
      </c>
      <c r="BR168" s="44">
        <v>20</v>
      </c>
      <c r="BS168">
        <v>1</v>
      </c>
      <c r="BT168" s="112" t="str">
        <f>REPLACE(INDEX(GroupVertices[Group],MATCH("~"&amp;Edges[[#This Row],[Vertex 1]],GroupVertices[Vertex],0)),1,1,"")</f>
        <v>3</v>
      </c>
      <c r="BU168" s="112" t="str">
        <f>REPLACE(INDEX(GroupVertices[Group],MATCH("~"&amp;Edges[[#This Row],[Vertex 2]],GroupVertices[Vertex],0)),1,1,"")</f>
        <v>3</v>
      </c>
    </row>
    <row r="169" spans="1:73" ht="15">
      <c r="A169" s="59" t="s">
        <v>287</v>
      </c>
      <c r="B169" s="59" t="s">
        <v>287</v>
      </c>
      <c r="C169" s="60"/>
      <c r="D169" s="61"/>
      <c r="E169" s="62"/>
      <c r="F169" s="63"/>
      <c r="G169" s="60"/>
      <c r="H169" s="64"/>
      <c r="I169" s="65"/>
      <c r="J169" s="65"/>
      <c r="K169" s="30" t="s">
        <v>65</v>
      </c>
      <c r="L169" s="72">
        <v>169</v>
      </c>
      <c r="M1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9" s="67"/>
      <c r="O169" t="s">
        <v>177</v>
      </c>
      <c r="P169" s="73">
        <v>44882.355104166665</v>
      </c>
      <c r="Q169" t="s">
        <v>604</v>
      </c>
      <c r="R169">
        <v>6</v>
      </c>
      <c r="S169">
        <v>24</v>
      </c>
      <c r="T169">
        <v>5</v>
      </c>
      <c r="U169">
        <v>0</v>
      </c>
      <c r="AA169" t="s">
        <v>773</v>
      </c>
      <c r="AB169" t="s">
        <v>783</v>
      </c>
      <c r="AC169" s="74" t="s">
        <v>787</v>
      </c>
      <c r="AD169" t="s">
        <v>794</v>
      </c>
      <c r="AE169" s="75" t="str">
        <f>HYPERLINK("https://twitter.com/nyaiibubu/status/1593159845322297344")</f>
        <v>https://twitter.com/nyaiibubu/status/1593159845322297344</v>
      </c>
      <c r="AF169" s="73">
        <v>44882.355104166665</v>
      </c>
      <c r="AG169" s="77">
        <v>44882</v>
      </c>
      <c r="AH169" s="74" t="s">
        <v>918</v>
      </c>
      <c r="AI169" t="b">
        <v>0</v>
      </c>
      <c r="AQ169" t="s">
        <v>1011</v>
      </c>
      <c r="AV169" s="75" t="str">
        <f>HYPERLINK("https://pbs.twimg.com/media/FhwKbW7aAAUEZhN.jpg")</f>
        <v>https://pbs.twimg.com/media/FhwKbW7aAAUEZhN.jpg</v>
      </c>
      <c r="AW169" s="74" t="s">
        <v>1139</v>
      </c>
      <c r="AX169" s="74" t="s">
        <v>1139</v>
      </c>
      <c r="AZ169" s="74" t="s">
        <v>1384</v>
      </c>
      <c r="BA169" s="74" t="s">
        <v>1384</v>
      </c>
      <c r="BB169" s="74" t="s">
        <v>1384</v>
      </c>
      <c r="BC169" s="74" t="s">
        <v>1139</v>
      </c>
      <c r="BD169" s="74" t="s">
        <v>1447</v>
      </c>
      <c r="BJ169" s="44">
        <v>6</v>
      </c>
      <c r="BK169" s="45">
        <v>40</v>
      </c>
      <c r="BL169" s="44">
        <v>0</v>
      </c>
      <c r="BM169" s="45">
        <v>0</v>
      </c>
      <c r="BN169" s="44">
        <v>0</v>
      </c>
      <c r="BO169" s="45">
        <v>0</v>
      </c>
      <c r="BP169" s="44">
        <v>9</v>
      </c>
      <c r="BQ169" s="45">
        <v>60</v>
      </c>
      <c r="BR169" s="44">
        <v>15</v>
      </c>
      <c r="BS169">
        <v>1</v>
      </c>
      <c r="BT169" s="112" t="str">
        <f>REPLACE(INDEX(GroupVertices[Group],MATCH("~"&amp;Edges[[#This Row],[Vertex 1]],GroupVertices[Vertex],0)),1,1,"")</f>
        <v>3</v>
      </c>
      <c r="BU169" s="112" t="str">
        <f>REPLACE(INDEX(GroupVertices[Group],MATCH("~"&amp;Edges[[#This Row],[Vertex 2]],GroupVertices[Vertex],0)),1,1,"")</f>
        <v>3</v>
      </c>
    </row>
    <row r="170" spans="1:73" ht="15">
      <c r="A170" s="59" t="s">
        <v>288</v>
      </c>
      <c r="B170" s="59" t="s">
        <v>288</v>
      </c>
      <c r="C170" s="60"/>
      <c r="D170" s="61"/>
      <c r="E170" s="62"/>
      <c r="F170" s="63"/>
      <c r="G170" s="60"/>
      <c r="H170" s="64"/>
      <c r="I170" s="65"/>
      <c r="J170" s="65"/>
      <c r="K170" s="30" t="s">
        <v>65</v>
      </c>
      <c r="L170" s="72">
        <v>170</v>
      </c>
      <c r="M1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0" s="67"/>
      <c r="O170" t="s">
        <v>177</v>
      </c>
      <c r="P170" s="73">
        <v>45187.21202546296</v>
      </c>
      <c r="Q170" t="s">
        <v>605</v>
      </c>
      <c r="R170">
        <v>264</v>
      </c>
      <c r="S170">
        <v>855</v>
      </c>
      <c r="T170">
        <v>353</v>
      </c>
      <c r="U170">
        <v>47</v>
      </c>
      <c r="V170">
        <v>29203</v>
      </c>
      <c r="X170" s="75" t="str">
        <f>HYPERLINK("https://mediaindonesia.com/politik-dan-hukum/611063/anies-prioritaskan-pengesahan-ruu-perampasan-aset-jika-terpilih-presiden")</f>
        <v>https://mediaindonesia.com/politik-dan-hukum/611063/anies-prioritaskan-pengesahan-ruu-perampasan-aset-jika-terpilih-presiden</v>
      </c>
      <c r="Y170" t="s">
        <v>716</v>
      </c>
      <c r="AC170" s="74" t="s">
        <v>787</v>
      </c>
      <c r="AD170" t="s">
        <v>794</v>
      </c>
      <c r="AE170" s="75" t="str">
        <f>HYPERLINK("https://twitter.com/mdy_asmara1701/status/1703636295501976057")</f>
        <v>https://twitter.com/mdy_asmara1701/status/1703636295501976057</v>
      </c>
      <c r="AF170" s="73">
        <v>45187.21202546296</v>
      </c>
      <c r="AG170" s="77">
        <v>45187</v>
      </c>
      <c r="AH170" s="74" t="s">
        <v>919</v>
      </c>
      <c r="AI170" t="b">
        <v>0</v>
      </c>
      <c r="AV170" s="75" t="str">
        <f>HYPERLINK("https://pbs.twimg.com/profile_images/1603554732202553345/n_kziDFc_normal.jpg")</f>
        <v>https://pbs.twimg.com/profile_images/1603554732202553345/n_kziDFc_normal.jpg</v>
      </c>
      <c r="AW170" s="74" t="s">
        <v>1140</v>
      </c>
      <c r="AX170" s="74" t="s">
        <v>1140</v>
      </c>
      <c r="AZ170" s="74" t="s">
        <v>1384</v>
      </c>
      <c r="BA170" s="74" t="s">
        <v>1384</v>
      </c>
      <c r="BB170" s="74" t="s">
        <v>1384</v>
      </c>
      <c r="BC170" s="74" t="s">
        <v>1140</v>
      </c>
      <c r="BD170" s="74" t="s">
        <v>1323</v>
      </c>
      <c r="BJ170" s="44">
        <v>0</v>
      </c>
      <c r="BK170" s="45">
        <v>0</v>
      </c>
      <c r="BL170" s="44">
        <v>0</v>
      </c>
      <c r="BM170" s="45">
        <v>0</v>
      </c>
      <c r="BN170" s="44">
        <v>0</v>
      </c>
      <c r="BO170" s="45">
        <v>0</v>
      </c>
      <c r="BP170" s="44">
        <v>16</v>
      </c>
      <c r="BQ170" s="45">
        <v>100</v>
      </c>
      <c r="BR170" s="44">
        <v>16</v>
      </c>
      <c r="BS170">
        <v>1</v>
      </c>
      <c r="BT170" s="112" t="str">
        <f>REPLACE(INDEX(GroupVertices[Group],MATCH("~"&amp;Edges[[#This Row],[Vertex 1]],GroupVertices[Vertex],0)),1,1,"")</f>
        <v>12</v>
      </c>
      <c r="BU170" s="112" t="str">
        <f>REPLACE(INDEX(GroupVertices[Group],MATCH("~"&amp;Edges[[#This Row],[Vertex 2]],GroupVertices[Vertex],0)),1,1,"")</f>
        <v>12</v>
      </c>
    </row>
    <row r="171" spans="1:73" ht="15">
      <c r="A171" s="59" t="s">
        <v>289</v>
      </c>
      <c r="B171" s="59" t="s">
        <v>425</v>
      </c>
      <c r="C171" s="60"/>
      <c r="D171" s="61"/>
      <c r="E171" s="62"/>
      <c r="F171" s="63"/>
      <c r="G171" s="60"/>
      <c r="H171" s="64"/>
      <c r="I171" s="65"/>
      <c r="J171" s="65"/>
      <c r="K171" s="30" t="s">
        <v>65</v>
      </c>
      <c r="L171" s="72">
        <v>171</v>
      </c>
      <c r="M1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1" s="67"/>
      <c r="O171" t="s">
        <v>483</v>
      </c>
      <c r="P171" s="73">
        <v>44755.47994212963</v>
      </c>
      <c r="Q171" t="s">
        <v>606</v>
      </c>
      <c r="R171">
        <v>0</v>
      </c>
      <c r="S171">
        <v>0</v>
      </c>
      <c r="T171">
        <v>0</v>
      </c>
      <c r="U171">
        <v>0</v>
      </c>
      <c r="W171" s="74" t="s">
        <v>682</v>
      </c>
      <c r="Z171" t="s">
        <v>756</v>
      </c>
      <c r="AC171" s="74" t="s">
        <v>787</v>
      </c>
      <c r="AD171" t="s">
        <v>794</v>
      </c>
      <c r="AE171" s="75" t="str">
        <f>HYPERLINK("https://twitter.com/bijaksan4/status/1547181825969115136")</f>
        <v>https://twitter.com/bijaksan4/status/1547181825969115136</v>
      </c>
      <c r="AF171" s="73">
        <v>44755.47994212963</v>
      </c>
      <c r="AG171" s="77">
        <v>44755</v>
      </c>
      <c r="AH171" s="74" t="s">
        <v>920</v>
      </c>
      <c r="AV171" s="75" t="str">
        <f>HYPERLINK("https://pbs.twimg.com/profile_images/1726924426342768641/kyHaxtKr_normal.jpg")</f>
        <v>https://pbs.twimg.com/profile_images/1726924426342768641/kyHaxtKr_normal.jpg</v>
      </c>
      <c r="AW171" s="74" t="s">
        <v>1141</v>
      </c>
      <c r="AX171" s="74" t="s">
        <v>1299</v>
      </c>
      <c r="AY171" s="74" t="s">
        <v>1358</v>
      </c>
      <c r="AZ171" s="74" t="s">
        <v>1299</v>
      </c>
      <c r="BA171" s="74" t="s">
        <v>1384</v>
      </c>
      <c r="BB171" s="74" t="s">
        <v>1384</v>
      </c>
      <c r="BC171" s="74" t="s">
        <v>1299</v>
      </c>
      <c r="BD171" s="74" t="s">
        <v>1448</v>
      </c>
      <c r="BJ171" s="44">
        <v>1</v>
      </c>
      <c r="BK171" s="45">
        <v>10</v>
      </c>
      <c r="BL171" s="44">
        <v>0</v>
      </c>
      <c r="BM171" s="45">
        <v>0</v>
      </c>
      <c r="BN171" s="44">
        <v>0</v>
      </c>
      <c r="BO171" s="45">
        <v>0</v>
      </c>
      <c r="BP171" s="44">
        <v>9</v>
      </c>
      <c r="BQ171" s="45">
        <v>90</v>
      </c>
      <c r="BR171" s="44">
        <v>10</v>
      </c>
      <c r="BS171">
        <v>1</v>
      </c>
      <c r="BT171" s="112" t="str">
        <f>REPLACE(INDEX(GroupVertices[Group],MATCH("~"&amp;Edges[[#This Row],[Vertex 1]],GroupVertices[Vertex],0)),1,1,"")</f>
        <v>15</v>
      </c>
      <c r="BU171" s="112" t="str">
        <f>REPLACE(INDEX(GroupVertices[Group],MATCH("~"&amp;Edges[[#This Row],[Vertex 2]],GroupVertices[Vertex],0)),1,1,"")</f>
        <v>15</v>
      </c>
    </row>
    <row r="172" spans="1:73" ht="15">
      <c r="A172" s="59" t="s">
        <v>289</v>
      </c>
      <c r="B172" s="59" t="s">
        <v>400</v>
      </c>
      <c r="C172" s="60"/>
      <c r="D172" s="61"/>
      <c r="E172" s="62"/>
      <c r="F172" s="63"/>
      <c r="G172" s="60"/>
      <c r="H172" s="64"/>
      <c r="I172" s="65"/>
      <c r="J172" s="65"/>
      <c r="K172" s="30" t="s">
        <v>65</v>
      </c>
      <c r="L172" s="72">
        <v>172</v>
      </c>
      <c r="M1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2" s="67"/>
      <c r="O172" t="s">
        <v>482</v>
      </c>
      <c r="P172" s="73">
        <v>44755.47994212963</v>
      </c>
      <c r="Q172" t="s">
        <v>606</v>
      </c>
      <c r="R172">
        <v>0</v>
      </c>
      <c r="S172">
        <v>0</v>
      </c>
      <c r="T172">
        <v>0</v>
      </c>
      <c r="U172">
        <v>0</v>
      </c>
      <c r="W172" s="74" t="s">
        <v>682</v>
      </c>
      <c r="Z172" t="s">
        <v>756</v>
      </c>
      <c r="AC172" s="74" t="s">
        <v>787</v>
      </c>
      <c r="AD172" t="s">
        <v>794</v>
      </c>
      <c r="AE172" s="75" t="str">
        <f>HYPERLINK("https://twitter.com/bijaksan4/status/1547181825969115136")</f>
        <v>https://twitter.com/bijaksan4/status/1547181825969115136</v>
      </c>
      <c r="AF172" s="73">
        <v>44755.47994212963</v>
      </c>
      <c r="AG172" s="77">
        <v>44755</v>
      </c>
      <c r="AH172" s="74" t="s">
        <v>920</v>
      </c>
      <c r="AV172" s="75" t="str">
        <f>HYPERLINK("https://pbs.twimg.com/profile_images/1726924426342768641/kyHaxtKr_normal.jpg")</f>
        <v>https://pbs.twimg.com/profile_images/1726924426342768641/kyHaxtKr_normal.jpg</v>
      </c>
      <c r="AW172" s="74" t="s">
        <v>1141</v>
      </c>
      <c r="AX172" s="74" t="s">
        <v>1299</v>
      </c>
      <c r="AY172" s="74" t="s">
        <v>1358</v>
      </c>
      <c r="AZ172" s="74" t="s">
        <v>1299</v>
      </c>
      <c r="BA172" s="74" t="s">
        <v>1384</v>
      </c>
      <c r="BB172" s="74" t="s">
        <v>1384</v>
      </c>
      <c r="BC172" s="74" t="s">
        <v>1299</v>
      </c>
      <c r="BD172" s="74" t="s">
        <v>1448</v>
      </c>
      <c r="BJ172" s="44"/>
      <c r="BK172" s="45"/>
      <c r="BL172" s="44"/>
      <c r="BM172" s="45"/>
      <c r="BN172" s="44"/>
      <c r="BO172" s="45"/>
      <c r="BP172" s="44"/>
      <c r="BQ172" s="45"/>
      <c r="BR172" s="44"/>
      <c r="BS172">
        <v>1</v>
      </c>
      <c r="BT172" s="112" t="str">
        <f>REPLACE(INDEX(GroupVertices[Group],MATCH("~"&amp;Edges[[#This Row],[Vertex 1]],GroupVertices[Vertex],0)),1,1,"")</f>
        <v>15</v>
      </c>
      <c r="BU172" s="112" t="str">
        <f>REPLACE(INDEX(GroupVertices[Group],MATCH("~"&amp;Edges[[#This Row],[Vertex 2]],GroupVertices[Vertex],0)),1,1,"")</f>
        <v>15</v>
      </c>
    </row>
    <row r="173" spans="1:73" ht="15">
      <c r="A173" s="59" t="s">
        <v>290</v>
      </c>
      <c r="B173" s="59" t="s">
        <v>426</v>
      </c>
      <c r="C173" s="60"/>
      <c r="D173" s="61"/>
      <c r="E173" s="62"/>
      <c r="F173" s="63"/>
      <c r="G173" s="60"/>
      <c r="H173" s="64"/>
      <c r="I173" s="65"/>
      <c r="J173" s="65"/>
      <c r="K173" s="30" t="s">
        <v>65</v>
      </c>
      <c r="L173" s="72">
        <v>173</v>
      </c>
      <c r="M1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3" s="67"/>
      <c r="O173" t="s">
        <v>483</v>
      </c>
      <c r="P173" s="73">
        <v>44911.466840277775</v>
      </c>
      <c r="Q173" t="s">
        <v>607</v>
      </c>
      <c r="R173">
        <v>12</v>
      </c>
      <c r="S173">
        <v>17</v>
      </c>
      <c r="T173">
        <v>1</v>
      </c>
      <c r="U173">
        <v>0</v>
      </c>
      <c r="V173">
        <v>134</v>
      </c>
      <c r="W173" s="74" t="s">
        <v>696</v>
      </c>
      <c r="Z173" t="s">
        <v>757</v>
      </c>
      <c r="AC173" s="74" t="s">
        <v>789</v>
      </c>
      <c r="AD173" t="s">
        <v>794</v>
      </c>
      <c r="AE173" s="75" t="str">
        <f>HYPERLINK("https://twitter.com/s_cintanirmala/status/1603709587341074433")</f>
        <v>https://twitter.com/s_cintanirmala/status/1603709587341074433</v>
      </c>
      <c r="AF173" s="73">
        <v>44911.466840277775</v>
      </c>
      <c r="AG173" s="77">
        <v>44911</v>
      </c>
      <c r="AH173" s="74" t="s">
        <v>921</v>
      </c>
      <c r="AV173" s="75" t="str">
        <f>HYPERLINK("https://pbs.twimg.com/profile_images/1562936385258266625/MwfjhiWX_normal.jpg")</f>
        <v>https://pbs.twimg.com/profile_images/1562936385258266625/MwfjhiWX_normal.jpg</v>
      </c>
      <c r="AW173" s="74" t="s">
        <v>1142</v>
      </c>
      <c r="AX173" s="74" t="s">
        <v>1300</v>
      </c>
      <c r="AY173" s="74" t="s">
        <v>1373</v>
      </c>
      <c r="AZ173" s="74" t="s">
        <v>1395</v>
      </c>
      <c r="BA173" s="74" t="s">
        <v>1384</v>
      </c>
      <c r="BB173" s="74" t="s">
        <v>1384</v>
      </c>
      <c r="BC173" s="74" t="s">
        <v>1395</v>
      </c>
      <c r="BD173" s="74" t="s">
        <v>1449</v>
      </c>
      <c r="BJ173" s="44"/>
      <c r="BK173" s="45"/>
      <c r="BL173" s="44"/>
      <c r="BM173" s="45"/>
      <c r="BN173" s="44"/>
      <c r="BO173" s="45"/>
      <c r="BP173" s="44"/>
      <c r="BQ173" s="45"/>
      <c r="BR173" s="44"/>
      <c r="BS173">
        <v>1</v>
      </c>
      <c r="BT173" s="112" t="str">
        <f>REPLACE(INDEX(GroupVertices[Group],MATCH("~"&amp;Edges[[#This Row],[Vertex 1]],GroupVertices[Vertex],0)),1,1,"")</f>
        <v>1</v>
      </c>
      <c r="BU173" s="112" t="str">
        <f>REPLACE(INDEX(GroupVertices[Group],MATCH("~"&amp;Edges[[#This Row],[Vertex 2]],GroupVertices[Vertex],0)),1,1,"")</f>
        <v>1</v>
      </c>
    </row>
    <row r="174" spans="1:73" ht="15">
      <c r="A174" s="59" t="s">
        <v>290</v>
      </c>
      <c r="B174" s="59" t="s">
        <v>427</v>
      </c>
      <c r="C174" s="60"/>
      <c r="D174" s="61"/>
      <c r="E174" s="62"/>
      <c r="F174" s="63"/>
      <c r="G174" s="60"/>
      <c r="H174" s="64"/>
      <c r="I174" s="65"/>
      <c r="J174" s="65"/>
      <c r="K174" s="30" t="s">
        <v>65</v>
      </c>
      <c r="L174" s="72">
        <v>174</v>
      </c>
      <c r="M1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4" s="67"/>
      <c r="O174" t="s">
        <v>483</v>
      </c>
      <c r="P174" s="73">
        <v>44911.466840277775</v>
      </c>
      <c r="Q174" t="s">
        <v>607</v>
      </c>
      <c r="R174">
        <v>12</v>
      </c>
      <c r="S174">
        <v>17</v>
      </c>
      <c r="T174">
        <v>1</v>
      </c>
      <c r="U174">
        <v>0</v>
      </c>
      <c r="V174">
        <v>134</v>
      </c>
      <c r="W174" s="74" t="s">
        <v>696</v>
      </c>
      <c r="Z174" t="s">
        <v>757</v>
      </c>
      <c r="AC174" s="74" t="s">
        <v>789</v>
      </c>
      <c r="AD174" t="s">
        <v>794</v>
      </c>
      <c r="AE174" s="75" t="str">
        <f>HYPERLINK("https://twitter.com/s_cintanirmala/status/1603709587341074433")</f>
        <v>https://twitter.com/s_cintanirmala/status/1603709587341074433</v>
      </c>
      <c r="AF174" s="73">
        <v>44911.466840277775</v>
      </c>
      <c r="AG174" s="77">
        <v>44911</v>
      </c>
      <c r="AH174" s="74" t="s">
        <v>921</v>
      </c>
      <c r="AV174" s="75" t="str">
        <f>HYPERLINK("https://pbs.twimg.com/profile_images/1562936385258266625/MwfjhiWX_normal.jpg")</f>
        <v>https://pbs.twimg.com/profile_images/1562936385258266625/MwfjhiWX_normal.jpg</v>
      </c>
      <c r="AW174" s="74" t="s">
        <v>1142</v>
      </c>
      <c r="AX174" s="74" t="s">
        <v>1300</v>
      </c>
      <c r="AY174" s="74" t="s">
        <v>1373</v>
      </c>
      <c r="AZ174" s="74" t="s">
        <v>1395</v>
      </c>
      <c r="BA174" s="74" t="s">
        <v>1384</v>
      </c>
      <c r="BB174" s="74" t="s">
        <v>1384</v>
      </c>
      <c r="BC174" s="74" t="s">
        <v>1395</v>
      </c>
      <c r="BD174" s="74" t="s">
        <v>1449</v>
      </c>
      <c r="BJ174" s="44"/>
      <c r="BK174" s="45"/>
      <c r="BL174" s="44"/>
      <c r="BM174" s="45"/>
      <c r="BN174" s="44"/>
      <c r="BO174" s="45"/>
      <c r="BP174" s="44"/>
      <c r="BQ174" s="45"/>
      <c r="BR174" s="44"/>
      <c r="BS174">
        <v>1</v>
      </c>
      <c r="BT174" s="112" t="str">
        <f>REPLACE(INDEX(GroupVertices[Group],MATCH("~"&amp;Edges[[#This Row],[Vertex 1]],GroupVertices[Vertex],0)),1,1,"")</f>
        <v>1</v>
      </c>
      <c r="BU174" s="112" t="str">
        <f>REPLACE(INDEX(GroupVertices[Group],MATCH("~"&amp;Edges[[#This Row],[Vertex 2]],GroupVertices[Vertex],0)),1,1,"")</f>
        <v>1</v>
      </c>
    </row>
    <row r="175" spans="1:73" ht="15">
      <c r="A175" s="59" t="s">
        <v>290</v>
      </c>
      <c r="B175" s="59" t="s">
        <v>428</v>
      </c>
      <c r="C175" s="60"/>
      <c r="D175" s="61"/>
      <c r="E175" s="62"/>
      <c r="F175" s="63"/>
      <c r="G175" s="60"/>
      <c r="H175" s="64"/>
      <c r="I175" s="65"/>
      <c r="J175" s="65"/>
      <c r="K175" s="30" t="s">
        <v>65</v>
      </c>
      <c r="L175" s="72">
        <v>175</v>
      </c>
      <c r="M1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5" s="67"/>
      <c r="O175" t="s">
        <v>483</v>
      </c>
      <c r="P175" s="73">
        <v>44911.466840277775</v>
      </c>
      <c r="Q175" t="s">
        <v>607</v>
      </c>
      <c r="R175">
        <v>12</v>
      </c>
      <c r="S175">
        <v>17</v>
      </c>
      <c r="T175">
        <v>1</v>
      </c>
      <c r="U175">
        <v>0</v>
      </c>
      <c r="V175">
        <v>134</v>
      </c>
      <c r="W175" s="74" t="s">
        <v>696</v>
      </c>
      <c r="Z175" t="s">
        <v>757</v>
      </c>
      <c r="AC175" s="74" t="s">
        <v>789</v>
      </c>
      <c r="AD175" t="s">
        <v>794</v>
      </c>
      <c r="AE175" s="75" t="str">
        <f>HYPERLINK("https://twitter.com/s_cintanirmala/status/1603709587341074433")</f>
        <v>https://twitter.com/s_cintanirmala/status/1603709587341074433</v>
      </c>
      <c r="AF175" s="73">
        <v>44911.466840277775</v>
      </c>
      <c r="AG175" s="77">
        <v>44911</v>
      </c>
      <c r="AH175" s="74" t="s">
        <v>921</v>
      </c>
      <c r="AV175" s="75" t="str">
        <f>HYPERLINK("https://pbs.twimg.com/profile_images/1562936385258266625/MwfjhiWX_normal.jpg")</f>
        <v>https://pbs.twimg.com/profile_images/1562936385258266625/MwfjhiWX_normal.jpg</v>
      </c>
      <c r="AW175" s="74" t="s">
        <v>1142</v>
      </c>
      <c r="AX175" s="74" t="s">
        <v>1300</v>
      </c>
      <c r="AY175" s="74" t="s">
        <v>1373</v>
      </c>
      <c r="AZ175" s="74" t="s">
        <v>1395</v>
      </c>
      <c r="BA175" s="74" t="s">
        <v>1384</v>
      </c>
      <c r="BB175" s="74" t="s">
        <v>1384</v>
      </c>
      <c r="BC175" s="74" t="s">
        <v>1395</v>
      </c>
      <c r="BD175" s="74" t="s">
        <v>1449</v>
      </c>
      <c r="BJ175" s="44"/>
      <c r="BK175" s="45"/>
      <c r="BL175" s="44"/>
      <c r="BM175" s="45"/>
      <c r="BN175" s="44"/>
      <c r="BO175" s="45"/>
      <c r="BP175" s="44"/>
      <c r="BQ175" s="45"/>
      <c r="BR175" s="44"/>
      <c r="BS175">
        <v>1</v>
      </c>
      <c r="BT175" s="112" t="str">
        <f>REPLACE(INDEX(GroupVertices[Group],MATCH("~"&amp;Edges[[#This Row],[Vertex 1]],GroupVertices[Vertex],0)),1,1,"")</f>
        <v>1</v>
      </c>
      <c r="BU175" s="112" t="str">
        <f>REPLACE(INDEX(GroupVertices[Group],MATCH("~"&amp;Edges[[#This Row],[Vertex 2]],GroupVertices[Vertex],0)),1,1,"")</f>
        <v>1</v>
      </c>
    </row>
    <row r="176" spans="1:73" ht="15">
      <c r="A176" s="59" t="s">
        <v>290</v>
      </c>
      <c r="B176" s="59" t="s">
        <v>429</v>
      </c>
      <c r="C176" s="60"/>
      <c r="D176" s="61"/>
      <c r="E176" s="62"/>
      <c r="F176" s="63"/>
      <c r="G176" s="60"/>
      <c r="H176" s="64"/>
      <c r="I176" s="65"/>
      <c r="J176" s="65"/>
      <c r="K176" s="30" t="s">
        <v>65</v>
      </c>
      <c r="L176" s="72">
        <v>176</v>
      </c>
      <c r="M1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6" s="67"/>
      <c r="O176" t="s">
        <v>483</v>
      </c>
      <c r="P176" s="73">
        <v>44911.466840277775</v>
      </c>
      <c r="Q176" t="s">
        <v>607</v>
      </c>
      <c r="R176">
        <v>12</v>
      </c>
      <c r="S176">
        <v>17</v>
      </c>
      <c r="T176">
        <v>1</v>
      </c>
      <c r="U176">
        <v>0</v>
      </c>
      <c r="V176">
        <v>134</v>
      </c>
      <c r="W176" s="74" t="s">
        <v>696</v>
      </c>
      <c r="Z176" t="s">
        <v>757</v>
      </c>
      <c r="AC176" s="74" t="s">
        <v>789</v>
      </c>
      <c r="AD176" t="s">
        <v>794</v>
      </c>
      <c r="AE176" s="75" t="str">
        <f>HYPERLINK("https://twitter.com/s_cintanirmala/status/1603709587341074433")</f>
        <v>https://twitter.com/s_cintanirmala/status/1603709587341074433</v>
      </c>
      <c r="AF176" s="73">
        <v>44911.466840277775</v>
      </c>
      <c r="AG176" s="77">
        <v>44911</v>
      </c>
      <c r="AH176" s="74" t="s">
        <v>921</v>
      </c>
      <c r="AV176" s="75" t="str">
        <f>HYPERLINK("https://pbs.twimg.com/profile_images/1562936385258266625/MwfjhiWX_normal.jpg")</f>
        <v>https://pbs.twimg.com/profile_images/1562936385258266625/MwfjhiWX_normal.jpg</v>
      </c>
      <c r="AW176" s="74" t="s">
        <v>1142</v>
      </c>
      <c r="AX176" s="74" t="s">
        <v>1300</v>
      </c>
      <c r="AY176" s="74" t="s">
        <v>1373</v>
      </c>
      <c r="AZ176" s="74" t="s">
        <v>1395</v>
      </c>
      <c r="BA176" s="74" t="s">
        <v>1384</v>
      </c>
      <c r="BB176" s="74" t="s">
        <v>1384</v>
      </c>
      <c r="BC176" s="74" t="s">
        <v>1395</v>
      </c>
      <c r="BD176" s="74" t="s">
        <v>1449</v>
      </c>
      <c r="BJ176" s="44"/>
      <c r="BK176" s="45"/>
      <c r="BL176" s="44"/>
      <c r="BM176" s="45"/>
      <c r="BN176" s="44"/>
      <c r="BO176" s="45"/>
      <c r="BP176" s="44"/>
      <c r="BQ176" s="45"/>
      <c r="BR176" s="44"/>
      <c r="BS176">
        <v>1</v>
      </c>
      <c r="BT176" s="112" t="str">
        <f>REPLACE(INDEX(GroupVertices[Group],MATCH("~"&amp;Edges[[#This Row],[Vertex 1]],GroupVertices[Vertex],0)),1,1,"")</f>
        <v>1</v>
      </c>
      <c r="BU176" s="112" t="str">
        <f>REPLACE(INDEX(GroupVertices[Group],MATCH("~"&amp;Edges[[#This Row],[Vertex 2]],GroupVertices[Vertex],0)),1,1,"")</f>
        <v>1</v>
      </c>
    </row>
    <row r="177" spans="1:73" ht="15">
      <c r="A177" s="59" t="s">
        <v>290</v>
      </c>
      <c r="B177" s="59" t="s">
        <v>430</v>
      </c>
      <c r="C177" s="60"/>
      <c r="D177" s="61"/>
      <c r="E177" s="62"/>
      <c r="F177" s="63"/>
      <c r="G177" s="60"/>
      <c r="H177" s="64"/>
      <c r="I177" s="65"/>
      <c r="J177" s="65"/>
      <c r="K177" s="30" t="s">
        <v>65</v>
      </c>
      <c r="L177" s="72">
        <v>177</v>
      </c>
      <c r="M1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7" s="67"/>
      <c r="O177" t="s">
        <v>483</v>
      </c>
      <c r="P177" s="73">
        <v>44911.466840277775</v>
      </c>
      <c r="Q177" t="s">
        <v>607</v>
      </c>
      <c r="R177">
        <v>12</v>
      </c>
      <c r="S177">
        <v>17</v>
      </c>
      <c r="T177">
        <v>1</v>
      </c>
      <c r="U177">
        <v>0</v>
      </c>
      <c r="V177">
        <v>134</v>
      </c>
      <c r="W177" s="74" t="s">
        <v>696</v>
      </c>
      <c r="Z177" t="s">
        <v>757</v>
      </c>
      <c r="AC177" s="74" t="s">
        <v>789</v>
      </c>
      <c r="AD177" t="s">
        <v>794</v>
      </c>
      <c r="AE177" s="75" t="str">
        <f>HYPERLINK("https://twitter.com/s_cintanirmala/status/1603709587341074433")</f>
        <v>https://twitter.com/s_cintanirmala/status/1603709587341074433</v>
      </c>
      <c r="AF177" s="73">
        <v>44911.466840277775</v>
      </c>
      <c r="AG177" s="77">
        <v>44911</v>
      </c>
      <c r="AH177" s="74" t="s">
        <v>921</v>
      </c>
      <c r="AV177" s="75" t="str">
        <f>HYPERLINK("https://pbs.twimg.com/profile_images/1562936385258266625/MwfjhiWX_normal.jpg")</f>
        <v>https://pbs.twimg.com/profile_images/1562936385258266625/MwfjhiWX_normal.jpg</v>
      </c>
      <c r="AW177" s="74" t="s">
        <v>1142</v>
      </c>
      <c r="AX177" s="74" t="s">
        <v>1300</v>
      </c>
      <c r="AY177" s="74" t="s">
        <v>1373</v>
      </c>
      <c r="AZ177" s="74" t="s">
        <v>1395</v>
      </c>
      <c r="BA177" s="74" t="s">
        <v>1384</v>
      </c>
      <c r="BB177" s="74" t="s">
        <v>1384</v>
      </c>
      <c r="BC177" s="74" t="s">
        <v>1395</v>
      </c>
      <c r="BD177" s="74" t="s">
        <v>1449</v>
      </c>
      <c r="BJ177" s="44"/>
      <c r="BK177" s="45"/>
      <c r="BL177" s="44"/>
      <c r="BM177" s="45"/>
      <c r="BN177" s="44"/>
      <c r="BO177" s="45"/>
      <c r="BP177" s="44"/>
      <c r="BQ177" s="45"/>
      <c r="BR177" s="44"/>
      <c r="BS177">
        <v>1</v>
      </c>
      <c r="BT177" s="112" t="str">
        <f>REPLACE(INDEX(GroupVertices[Group],MATCH("~"&amp;Edges[[#This Row],[Vertex 1]],GroupVertices[Vertex],0)),1,1,"")</f>
        <v>1</v>
      </c>
      <c r="BU177" s="112" t="str">
        <f>REPLACE(INDEX(GroupVertices[Group],MATCH("~"&amp;Edges[[#This Row],[Vertex 2]],GroupVertices[Vertex],0)),1,1,"")</f>
        <v>1</v>
      </c>
    </row>
    <row r="178" spans="1:73" ht="15">
      <c r="A178" s="59" t="s">
        <v>290</v>
      </c>
      <c r="B178" s="59" t="s">
        <v>431</v>
      </c>
      <c r="C178" s="60"/>
      <c r="D178" s="61"/>
      <c r="E178" s="62"/>
      <c r="F178" s="63"/>
      <c r="G178" s="60"/>
      <c r="H178" s="64"/>
      <c r="I178" s="65"/>
      <c r="J178" s="65"/>
      <c r="K178" s="30" t="s">
        <v>65</v>
      </c>
      <c r="L178" s="72">
        <v>178</v>
      </c>
      <c r="M1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8" s="67"/>
      <c r="O178" t="s">
        <v>483</v>
      </c>
      <c r="P178" s="73">
        <v>44911.466840277775</v>
      </c>
      <c r="Q178" t="s">
        <v>607</v>
      </c>
      <c r="R178">
        <v>12</v>
      </c>
      <c r="S178">
        <v>17</v>
      </c>
      <c r="T178">
        <v>1</v>
      </c>
      <c r="U178">
        <v>0</v>
      </c>
      <c r="V178">
        <v>134</v>
      </c>
      <c r="W178" s="74" t="s">
        <v>696</v>
      </c>
      <c r="Z178" t="s">
        <v>757</v>
      </c>
      <c r="AC178" s="74" t="s">
        <v>789</v>
      </c>
      <c r="AD178" t="s">
        <v>794</v>
      </c>
      <c r="AE178" s="75" t="str">
        <f>HYPERLINK("https://twitter.com/s_cintanirmala/status/1603709587341074433")</f>
        <v>https://twitter.com/s_cintanirmala/status/1603709587341074433</v>
      </c>
      <c r="AF178" s="73">
        <v>44911.466840277775</v>
      </c>
      <c r="AG178" s="77">
        <v>44911</v>
      </c>
      <c r="AH178" s="74" t="s">
        <v>921</v>
      </c>
      <c r="AV178" s="75" t="str">
        <f>HYPERLINK("https://pbs.twimg.com/profile_images/1562936385258266625/MwfjhiWX_normal.jpg")</f>
        <v>https://pbs.twimg.com/profile_images/1562936385258266625/MwfjhiWX_normal.jpg</v>
      </c>
      <c r="AW178" s="74" t="s">
        <v>1142</v>
      </c>
      <c r="AX178" s="74" t="s">
        <v>1300</v>
      </c>
      <c r="AY178" s="74" t="s">
        <v>1373</v>
      </c>
      <c r="AZ178" s="74" t="s">
        <v>1395</v>
      </c>
      <c r="BA178" s="74" t="s">
        <v>1384</v>
      </c>
      <c r="BB178" s="74" t="s">
        <v>1384</v>
      </c>
      <c r="BC178" s="74" t="s">
        <v>1395</v>
      </c>
      <c r="BD178" s="74" t="s">
        <v>1449</v>
      </c>
      <c r="BJ178" s="44"/>
      <c r="BK178" s="45"/>
      <c r="BL178" s="44"/>
      <c r="BM178" s="45"/>
      <c r="BN178" s="44"/>
      <c r="BO178" s="45"/>
      <c r="BP178" s="44"/>
      <c r="BQ178" s="45"/>
      <c r="BR178" s="44"/>
      <c r="BS178">
        <v>1</v>
      </c>
      <c r="BT178" s="112" t="str">
        <f>REPLACE(INDEX(GroupVertices[Group],MATCH("~"&amp;Edges[[#This Row],[Vertex 1]],GroupVertices[Vertex],0)),1,1,"")</f>
        <v>1</v>
      </c>
      <c r="BU178" s="112" t="str">
        <f>REPLACE(INDEX(GroupVertices[Group],MATCH("~"&amp;Edges[[#This Row],[Vertex 2]],GroupVertices[Vertex],0)),1,1,"")</f>
        <v>1</v>
      </c>
    </row>
    <row r="179" spans="1:73" ht="15">
      <c r="A179" s="59" t="s">
        <v>290</v>
      </c>
      <c r="B179" s="59" t="s">
        <v>432</v>
      </c>
      <c r="C179" s="60"/>
      <c r="D179" s="61"/>
      <c r="E179" s="62"/>
      <c r="F179" s="63"/>
      <c r="G179" s="60"/>
      <c r="H179" s="64"/>
      <c r="I179" s="65"/>
      <c r="J179" s="65"/>
      <c r="K179" s="30" t="s">
        <v>65</v>
      </c>
      <c r="L179" s="72">
        <v>179</v>
      </c>
      <c r="M1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9" s="67"/>
      <c r="O179" t="s">
        <v>483</v>
      </c>
      <c r="P179" s="73">
        <v>44911.466840277775</v>
      </c>
      <c r="Q179" t="s">
        <v>607</v>
      </c>
      <c r="R179">
        <v>12</v>
      </c>
      <c r="S179">
        <v>17</v>
      </c>
      <c r="T179">
        <v>1</v>
      </c>
      <c r="U179">
        <v>0</v>
      </c>
      <c r="V179">
        <v>134</v>
      </c>
      <c r="W179" s="74" t="s">
        <v>696</v>
      </c>
      <c r="Z179" t="s">
        <v>757</v>
      </c>
      <c r="AC179" s="74" t="s">
        <v>789</v>
      </c>
      <c r="AD179" t="s">
        <v>794</v>
      </c>
      <c r="AE179" s="75" t="str">
        <f>HYPERLINK("https://twitter.com/s_cintanirmala/status/1603709587341074433")</f>
        <v>https://twitter.com/s_cintanirmala/status/1603709587341074433</v>
      </c>
      <c r="AF179" s="73">
        <v>44911.466840277775</v>
      </c>
      <c r="AG179" s="77">
        <v>44911</v>
      </c>
      <c r="AH179" s="74" t="s">
        <v>921</v>
      </c>
      <c r="AV179" s="75" t="str">
        <f>HYPERLINK("https://pbs.twimg.com/profile_images/1562936385258266625/MwfjhiWX_normal.jpg")</f>
        <v>https://pbs.twimg.com/profile_images/1562936385258266625/MwfjhiWX_normal.jpg</v>
      </c>
      <c r="AW179" s="74" t="s">
        <v>1142</v>
      </c>
      <c r="AX179" s="74" t="s">
        <v>1300</v>
      </c>
      <c r="AY179" s="74" t="s">
        <v>1373</v>
      </c>
      <c r="AZ179" s="74" t="s">
        <v>1395</v>
      </c>
      <c r="BA179" s="74" t="s">
        <v>1384</v>
      </c>
      <c r="BB179" s="74" t="s">
        <v>1384</v>
      </c>
      <c r="BC179" s="74" t="s">
        <v>1395</v>
      </c>
      <c r="BD179" s="74" t="s">
        <v>1449</v>
      </c>
      <c r="BJ179" s="44"/>
      <c r="BK179" s="45"/>
      <c r="BL179" s="44"/>
      <c r="BM179" s="45"/>
      <c r="BN179" s="44"/>
      <c r="BO179" s="45"/>
      <c r="BP179" s="44"/>
      <c r="BQ179" s="45"/>
      <c r="BR179" s="44"/>
      <c r="BS179">
        <v>1</v>
      </c>
      <c r="BT179" s="112" t="str">
        <f>REPLACE(INDEX(GroupVertices[Group],MATCH("~"&amp;Edges[[#This Row],[Vertex 1]],GroupVertices[Vertex],0)),1,1,"")</f>
        <v>1</v>
      </c>
      <c r="BU179" s="112" t="str">
        <f>REPLACE(INDEX(GroupVertices[Group],MATCH("~"&amp;Edges[[#This Row],[Vertex 2]],GroupVertices[Vertex],0)),1,1,"")</f>
        <v>1</v>
      </c>
    </row>
    <row r="180" spans="1:73" ht="15">
      <c r="A180" s="59" t="s">
        <v>290</v>
      </c>
      <c r="B180" s="59" t="s">
        <v>433</v>
      </c>
      <c r="C180" s="60"/>
      <c r="D180" s="61"/>
      <c r="E180" s="62"/>
      <c r="F180" s="63"/>
      <c r="G180" s="60"/>
      <c r="H180" s="64"/>
      <c r="I180" s="65"/>
      <c r="J180" s="65"/>
      <c r="K180" s="30" t="s">
        <v>65</v>
      </c>
      <c r="L180" s="72">
        <v>180</v>
      </c>
      <c r="M1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0" s="67"/>
      <c r="O180" t="s">
        <v>483</v>
      </c>
      <c r="P180" s="73">
        <v>44911.466840277775</v>
      </c>
      <c r="Q180" t="s">
        <v>607</v>
      </c>
      <c r="R180">
        <v>12</v>
      </c>
      <c r="S180">
        <v>17</v>
      </c>
      <c r="T180">
        <v>1</v>
      </c>
      <c r="U180">
        <v>0</v>
      </c>
      <c r="V180">
        <v>134</v>
      </c>
      <c r="W180" s="74" t="s">
        <v>696</v>
      </c>
      <c r="Z180" t="s">
        <v>757</v>
      </c>
      <c r="AC180" s="74" t="s">
        <v>789</v>
      </c>
      <c r="AD180" t="s">
        <v>794</v>
      </c>
      <c r="AE180" s="75" t="str">
        <f>HYPERLINK("https://twitter.com/s_cintanirmala/status/1603709587341074433")</f>
        <v>https://twitter.com/s_cintanirmala/status/1603709587341074433</v>
      </c>
      <c r="AF180" s="73">
        <v>44911.466840277775</v>
      </c>
      <c r="AG180" s="77">
        <v>44911</v>
      </c>
      <c r="AH180" s="74" t="s">
        <v>921</v>
      </c>
      <c r="AV180" s="75" t="str">
        <f>HYPERLINK("https://pbs.twimg.com/profile_images/1562936385258266625/MwfjhiWX_normal.jpg")</f>
        <v>https://pbs.twimg.com/profile_images/1562936385258266625/MwfjhiWX_normal.jpg</v>
      </c>
      <c r="AW180" s="74" t="s">
        <v>1142</v>
      </c>
      <c r="AX180" s="74" t="s">
        <v>1300</v>
      </c>
      <c r="AY180" s="74" t="s">
        <v>1373</v>
      </c>
      <c r="AZ180" s="74" t="s">
        <v>1395</v>
      </c>
      <c r="BA180" s="74" t="s">
        <v>1384</v>
      </c>
      <c r="BB180" s="74" t="s">
        <v>1384</v>
      </c>
      <c r="BC180" s="74" t="s">
        <v>1395</v>
      </c>
      <c r="BD180" s="74" t="s">
        <v>1449</v>
      </c>
      <c r="BJ180" s="44"/>
      <c r="BK180" s="45"/>
      <c r="BL180" s="44"/>
      <c r="BM180" s="45"/>
      <c r="BN180" s="44"/>
      <c r="BO180" s="45"/>
      <c r="BP180" s="44"/>
      <c r="BQ180" s="45"/>
      <c r="BR180" s="44"/>
      <c r="BS180">
        <v>1</v>
      </c>
      <c r="BT180" s="112" t="str">
        <f>REPLACE(INDEX(GroupVertices[Group],MATCH("~"&amp;Edges[[#This Row],[Vertex 1]],GroupVertices[Vertex],0)),1,1,"")</f>
        <v>1</v>
      </c>
      <c r="BU180" s="112" t="str">
        <f>REPLACE(INDEX(GroupVertices[Group],MATCH("~"&amp;Edges[[#This Row],[Vertex 2]],GroupVertices[Vertex],0)),1,1,"")</f>
        <v>1</v>
      </c>
    </row>
    <row r="181" spans="1:73" ht="15">
      <c r="A181" s="59" t="s">
        <v>290</v>
      </c>
      <c r="B181" s="59" t="s">
        <v>434</v>
      </c>
      <c r="C181" s="60"/>
      <c r="D181" s="61"/>
      <c r="E181" s="62"/>
      <c r="F181" s="63"/>
      <c r="G181" s="60"/>
      <c r="H181" s="64"/>
      <c r="I181" s="65"/>
      <c r="J181" s="65"/>
      <c r="K181" s="30" t="s">
        <v>65</v>
      </c>
      <c r="L181" s="72">
        <v>181</v>
      </c>
      <c r="M1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1" s="67"/>
      <c r="O181" t="s">
        <v>483</v>
      </c>
      <c r="P181" s="73">
        <v>44911.466840277775</v>
      </c>
      <c r="Q181" t="s">
        <v>607</v>
      </c>
      <c r="R181">
        <v>12</v>
      </c>
      <c r="S181">
        <v>17</v>
      </c>
      <c r="T181">
        <v>1</v>
      </c>
      <c r="U181">
        <v>0</v>
      </c>
      <c r="V181">
        <v>134</v>
      </c>
      <c r="W181" s="74" t="s">
        <v>696</v>
      </c>
      <c r="Z181" t="s">
        <v>757</v>
      </c>
      <c r="AC181" s="74" t="s">
        <v>789</v>
      </c>
      <c r="AD181" t="s">
        <v>794</v>
      </c>
      <c r="AE181" s="75" t="str">
        <f>HYPERLINK("https://twitter.com/s_cintanirmala/status/1603709587341074433")</f>
        <v>https://twitter.com/s_cintanirmala/status/1603709587341074433</v>
      </c>
      <c r="AF181" s="73">
        <v>44911.466840277775</v>
      </c>
      <c r="AG181" s="77">
        <v>44911</v>
      </c>
      <c r="AH181" s="74" t="s">
        <v>921</v>
      </c>
      <c r="AV181" s="75" t="str">
        <f>HYPERLINK("https://pbs.twimg.com/profile_images/1562936385258266625/MwfjhiWX_normal.jpg")</f>
        <v>https://pbs.twimg.com/profile_images/1562936385258266625/MwfjhiWX_normal.jpg</v>
      </c>
      <c r="AW181" s="74" t="s">
        <v>1142</v>
      </c>
      <c r="AX181" s="74" t="s">
        <v>1300</v>
      </c>
      <c r="AY181" s="74" t="s">
        <v>1373</v>
      </c>
      <c r="AZ181" s="74" t="s">
        <v>1395</v>
      </c>
      <c r="BA181" s="74" t="s">
        <v>1384</v>
      </c>
      <c r="BB181" s="74" t="s">
        <v>1384</v>
      </c>
      <c r="BC181" s="74" t="s">
        <v>1395</v>
      </c>
      <c r="BD181" s="74" t="s">
        <v>1449</v>
      </c>
      <c r="BJ181" s="44"/>
      <c r="BK181" s="45"/>
      <c r="BL181" s="44"/>
      <c r="BM181" s="45"/>
      <c r="BN181" s="44"/>
      <c r="BO181" s="45"/>
      <c r="BP181" s="44"/>
      <c r="BQ181" s="45"/>
      <c r="BR181" s="44"/>
      <c r="BS181">
        <v>1</v>
      </c>
      <c r="BT181" s="112" t="str">
        <f>REPLACE(INDEX(GroupVertices[Group],MATCH("~"&amp;Edges[[#This Row],[Vertex 1]],GroupVertices[Vertex],0)),1,1,"")</f>
        <v>1</v>
      </c>
      <c r="BU181" s="112" t="str">
        <f>REPLACE(INDEX(GroupVertices[Group],MATCH("~"&amp;Edges[[#This Row],[Vertex 2]],GroupVertices[Vertex],0)),1,1,"")</f>
        <v>1</v>
      </c>
    </row>
    <row r="182" spans="1:73" ht="15">
      <c r="A182" s="59" t="s">
        <v>290</v>
      </c>
      <c r="B182" s="59" t="s">
        <v>435</v>
      </c>
      <c r="C182" s="60"/>
      <c r="D182" s="61"/>
      <c r="E182" s="62"/>
      <c r="F182" s="63"/>
      <c r="G182" s="60"/>
      <c r="H182" s="64"/>
      <c r="I182" s="65"/>
      <c r="J182" s="65"/>
      <c r="K182" s="30" t="s">
        <v>65</v>
      </c>
      <c r="L182" s="72">
        <v>182</v>
      </c>
      <c r="M1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2" s="67"/>
      <c r="O182" t="s">
        <v>483</v>
      </c>
      <c r="P182" s="73">
        <v>44911.466840277775</v>
      </c>
      <c r="Q182" t="s">
        <v>607</v>
      </c>
      <c r="R182">
        <v>12</v>
      </c>
      <c r="S182">
        <v>17</v>
      </c>
      <c r="T182">
        <v>1</v>
      </c>
      <c r="U182">
        <v>0</v>
      </c>
      <c r="V182">
        <v>134</v>
      </c>
      <c r="W182" s="74" t="s">
        <v>696</v>
      </c>
      <c r="Z182" t="s">
        <v>757</v>
      </c>
      <c r="AC182" s="74" t="s">
        <v>789</v>
      </c>
      <c r="AD182" t="s">
        <v>794</v>
      </c>
      <c r="AE182" s="75" t="str">
        <f>HYPERLINK("https://twitter.com/s_cintanirmala/status/1603709587341074433")</f>
        <v>https://twitter.com/s_cintanirmala/status/1603709587341074433</v>
      </c>
      <c r="AF182" s="73">
        <v>44911.466840277775</v>
      </c>
      <c r="AG182" s="77">
        <v>44911</v>
      </c>
      <c r="AH182" s="74" t="s">
        <v>921</v>
      </c>
      <c r="AV182" s="75" t="str">
        <f>HYPERLINK("https://pbs.twimg.com/profile_images/1562936385258266625/MwfjhiWX_normal.jpg")</f>
        <v>https://pbs.twimg.com/profile_images/1562936385258266625/MwfjhiWX_normal.jpg</v>
      </c>
      <c r="AW182" s="74" t="s">
        <v>1142</v>
      </c>
      <c r="AX182" s="74" t="s">
        <v>1300</v>
      </c>
      <c r="AY182" s="74" t="s">
        <v>1373</v>
      </c>
      <c r="AZ182" s="74" t="s">
        <v>1395</v>
      </c>
      <c r="BA182" s="74" t="s">
        <v>1384</v>
      </c>
      <c r="BB182" s="74" t="s">
        <v>1384</v>
      </c>
      <c r="BC182" s="74" t="s">
        <v>1395</v>
      </c>
      <c r="BD182" s="74" t="s">
        <v>1449</v>
      </c>
      <c r="BJ182" s="44"/>
      <c r="BK182" s="45"/>
      <c r="BL182" s="44"/>
      <c r="BM182" s="45"/>
      <c r="BN182" s="44"/>
      <c r="BO182" s="45"/>
      <c r="BP182" s="44"/>
      <c r="BQ182" s="45"/>
      <c r="BR182" s="44"/>
      <c r="BS182">
        <v>1</v>
      </c>
      <c r="BT182" s="112" t="str">
        <f>REPLACE(INDEX(GroupVertices[Group],MATCH("~"&amp;Edges[[#This Row],[Vertex 1]],GroupVertices[Vertex],0)),1,1,"")</f>
        <v>1</v>
      </c>
      <c r="BU182" s="112" t="str">
        <f>REPLACE(INDEX(GroupVertices[Group],MATCH("~"&amp;Edges[[#This Row],[Vertex 2]],GroupVertices[Vertex],0)),1,1,"")</f>
        <v>1</v>
      </c>
    </row>
    <row r="183" spans="1:73" ht="15">
      <c r="A183" s="59" t="s">
        <v>290</v>
      </c>
      <c r="B183" s="59" t="s">
        <v>436</v>
      </c>
      <c r="C183" s="60"/>
      <c r="D183" s="61"/>
      <c r="E183" s="62"/>
      <c r="F183" s="63"/>
      <c r="G183" s="60"/>
      <c r="H183" s="64"/>
      <c r="I183" s="65"/>
      <c r="J183" s="65"/>
      <c r="K183" s="30" t="s">
        <v>65</v>
      </c>
      <c r="L183" s="72">
        <v>183</v>
      </c>
      <c r="M1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3" s="67"/>
      <c r="O183" t="s">
        <v>483</v>
      </c>
      <c r="P183" s="73">
        <v>44911.466840277775</v>
      </c>
      <c r="Q183" t="s">
        <v>607</v>
      </c>
      <c r="R183">
        <v>12</v>
      </c>
      <c r="S183">
        <v>17</v>
      </c>
      <c r="T183">
        <v>1</v>
      </c>
      <c r="U183">
        <v>0</v>
      </c>
      <c r="V183">
        <v>134</v>
      </c>
      <c r="W183" s="74" t="s">
        <v>696</v>
      </c>
      <c r="Z183" t="s">
        <v>757</v>
      </c>
      <c r="AC183" s="74" t="s">
        <v>789</v>
      </c>
      <c r="AD183" t="s">
        <v>794</v>
      </c>
      <c r="AE183" s="75" t="str">
        <f>HYPERLINK("https://twitter.com/s_cintanirmala/status/1603709587341074433")</f>
        <v>https://twitter.com/s_cintanirmala/status/1603709587341074433</v>
      </c>
      <c r="AF183" s="73">
        <v>44911.466840277775</v>
      </c>
      <c r="AG183" s="77">
        <v>44911</v>
      </c>
      <c r="AH183" s="74" t="s">
        <v>921</v>
      </c>
      <c r="AV183" s="75" t="str">
        <f>HYPERLINK("https://pbs.twimg.com/profile_images/1562936385258266625/MwfjhiWX_normal.jpg")</f>
        <v>https://pbs.twimg.com/profile_images/1562936385258266625/MwfjhiWX_normal.jpg</v>
      </c>
      <c r="AW183" s="74" t="s">
        <v>1142</v>
      </c>
      <c r="AX183" s="74" t="s">
        <v>1300</v>
      </c>
      <c r="AY183" s="74" t="s">
        <v>1373</v>
      </c>
      <c r="AZ183" s="74" t="s">
        <v>1395</v>
      </c>
      <c r="BA183" s="74" t="s">
        <v>1384</v>
      </c>
      <c r="BB183" s="74" t="s">
        <v>1384</v>
      </c>
      <c r="BC183" s="74" t="s">
        <v>1395</v>
      </c>
      <c r="BD183" s="74" t="s">
        <v>1449</v>
      </c>
      <c r="BJ183" s="44"/>
      <c r="BK183" s="45"/>
      <c r="BL183" s="44"/>
      <c r="BM183" s="45"/>
      <c r="BN183" s="44"/>
      <c r="BO183" s="45"/>
      <c r="BP183" s="44"/>
      <c r="BQ183" s="45"/>
      <c r="BR183" s="44"/>
      <c r="BS183">
        <v>1</v>
      </c>
      <c r="BT183" s="112" t="str">
        <f>REPLACE(INDEX(GroupVertices[Group],MATCH("~"&amp;Edges[[#This Row],[Vertex 1]],GroupVertices[Vertex],0)),1,1,"")</f>
        <v>1</v>
      </c>
      <c r="BU183" s="112" t="str">
        <f>REPLACE(INDEX(GroupVertices[Group],MATCH("~"&amp;Edges[[#This Row],[Vertex 2]],GroupVertices[Vertex],0)),1,1,"")</f>
        <v>1</v>
      </c>
    </row>
    <row r="184" spans="1:73" ht="15">
      <c r="A184" s="59" t="s">
        <v>290</v>
      </c>
      <c r="B184" s="59" t="s">
        <v>437</v>
      </c>
      <c r="C184" s="60"/>
      <c r="D184" s="61"/>
      <c r="E184" s="62"/>
      <c r="F184" s="63"/>
      <c r="G184" s="60"/>
      <c r="H184" s="64"/>
      <c r="I184" s="65"/>
      <c r="J184" s="65"/>
      <c r="K184" s="30" t="s">
        <v>65</v>
      </c>
      <c r="L184" s="72">
        <v>184</v>
      </c>
      <c r="M1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4" s="67"/>
      <c r="O184" t="s">
        <v>483</v>
      </c>
      <c r="P184" s="73">
        <v>44911.466840277775</v>
      </c>
      <c r="Q184" t="s">
        <v>607</v>
      </c>
      <c r="R184">
        <v>12</v>
      </c>
      <c r="S184">
        <v>17</v>
      </c>
      <c r="T184">
        <v>1</v>
      </c>
      <c r="U184">
        <v>0</v>
      </c>
      <c r="V184">
        <v>134</v>
      </c>
      <c r="W184" s="74" t="s">
        <v>696</v>
      </c>
      <c r="Z184" t="s">
        <v>757</v>
      </c>
      <c r="AC184" s="74" t="s">
        <v>789</v>
      </c>
      <c r="AD184" t="s">
        <v>794</v>
      </c>
      <c r="AE184" s="75" t="str">
        <f>HYPERLINK("https://twitter.com/s_cintanirmala/status/1603709587341074433")</f>
        <v>https://twitter.com/s_cintanirmala/status/1603709587341074433</v>
      </c>
      <c r="AF184" s="73">
        <v>44911.466840277775</v>
      </c>
      <c r="AG184" s="77">
        <v>44911</v>
      </c>
      <c r="AH184" s="74" t="s">
        <v>921</v>
      </c>
      <c r="AV184" s="75" t="str">
        <f>HYPERLINK("https://pbs.twimg.com/profile_images/1562936385258266625/MwfjhiWX_normal.jpg")</f>
        <v>https://pbs.twimg.com/profile_images/1562936385258266625/MwfjhiWX_normal.jpg</v>
      </c>
      <c r="AW184" s="74" t="s">
        <v>1142</v>
      </c>
      <c r="AX184" s="74" t="s">
        <v>1300</v>
      </c>
      <c r="AY184" s="74" t="s">
        <v>1373</v>
      </c>
      <c r="AZ184" s="74" t="s">
        <v>1395</v>
      </c>
      <c r="BA184" s="74" t="s">
        <v>1384</v>
      </c>
      <c r="BB184" s="74" t="s">
        <v>1384</v>
      </c>
      <c r="BC184" s="74" t="s">
        <v>1395</v>
      </c>
      <c r="BD184" s="74" t="s">
        <v>1449</v>
      </c>
      <c r="BJ184" s="44"/>
      <c r="BK184" s="45"/>
      <c r="BL184" s="44"/>
      <c r="BM184" s="45"/>
      <c r="BN184" s="44"/>
      <c r="BO184" s="45"/>
      <c r="BP184" s="44"/>
      <c r="BQ184" s="45"/>
      <c r="BR184" s="44"/>
      <c r="BS184">
        <v>1</v>
      </c>
      <c r="BT184" s="112" t="str">
        <f>REPLACE(INDEX(GroupVertices[Group],MATCH("~"&amp;Edges[[#This Row],[Vertex 1]],GroupVertices[Vertex],0)),1,1,"")</f>
        <v>1</v>
      </c>
      <c r="BU184" s="112" t="str">
        <f>REPLACE(INDEX(GroupVertices[Group],MATCH("~"&amp;Edges[[#This Row],[Vertex 2]],GroupVertices[Vertex],0)),1,1,"")</f>
        <v>1</v>
      </c>
    </row>
    <row r="185" spans="1:73" ht="15">
      <c r="A185" s="59" t="s">
        <v>290</v>
      </c>
      <c r="B185" s="59" t="s">
        <v>438</v>
      </c>
      <c r="C185" s="60"/>
      <c r="D185" s="61"/>
      <c r="E185" s="62"/>
      <c r="F185" s="63"/>
      <c r="G185" s="60"/>
      <c r="H185" s="64"/>
      <c r="I185" s="65"/>
      <c r="J185" s="65"/>
      <c r="K185" s="30" t="s">
        <v>65</v>
      </c>
      <c r="L185" s="72">
        <v>185</v>
      </c>
      <c r="M1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5" s="67"/>
      <c r="O185" t="s">
        <v>483</v>
      </c>
      <c r="P185" s="73">
        <v>44911.466840277775</v>
      </c>
      <c r="Q185" t="s">
        <v>607</v>
      </c>
      <c r="R185">
        <v>12</v>
      </c>
      <c r="S185">
        <v>17</v>
      </c>
      <c r="T185">
        <v>1</v>
      </c>
      <c r="U185">
        <v>0</v>
      </c>
      <c r="V185">
        <v>134</v>
      </c>
      <c r="W185" s="74" t="s">
        <v>696</v>
      </c>
      <c r="Z185" t="s">
        <v>757</v>
      </c>
      <c r="AC185" s="74" t="s">
        <v>789</v>
      </c>
      <c r="AD185" t="s">
        <v>794</v>
      </c>
      <c r="AE185" s="75" t="str">
        <f>HYPERLINK("https://twitter.com/s_cintanirmala/status/1603709587341074433")</f>
        <v>https://twitter.com/s_cintanirmala/status/1603709587341074433</v>
      </c>
      <c r="AF185" s="73">
        <v>44911.466840277775</v>
      </c>
      <c r="AG185" s="77">
        <v>44911</v>
      </c>
      <c r="AH185" s="74" t="s">
        <v>921</v>
      </c>
      <c r="AV185" s="75" t="str">
        <f>HYPERLINK("https://pbs.twimg.com/profile_images/1562936385258266625/MwfjhiWX_normal.jpg")</f>
        <v>https://pbs.twimg.com/profile_images/1562936385258266625/MwfjhiWX_normal.jpg</v>
      </c>
      <c r="AW185" s="74" t="s">
        <v>1142</v>
      </c>
      <c r="AX185" s="74" t="s">
        <v>1300</v>
      </c>
      <c r="AY185" s="74" t="s">
        <v>1373</v>
      </c>
      <c r="AZ185" s="74" t="s">
        <v>1395</v>
      </c>
      <c r="BA185" s="74" t="s">
        <v>1384</v>
      </c>
      <c r="BB185" s="74" t="s">
        <v>1384</v>
      </c>
      <c r="BC185" s="74" t="s">
        <v>1395</v>
      </c>
      <c r="BD185" s="74" t="s">
        <v>1449</v>
      </c>
      <c r="BJ185" s="44"/>
      <c r="BK185" s="45"/>
      <c r="BL185" s="44"/>
      <c r="BM185" s="45"/>
      <c r="BN185" s="44"/>
      <c r="BO185" s="45"/>
      <c r="BP185" s="44"/>
      <c r="BQ185" s="45"/>
      <c r="BR185" s="44"/>
      <c r="BS185">
        <v>1</v>
      </c>
      <c r="BT185" s="112" t="str">
        <f>REPLACE(INDEX(GroupVertices[Group],MATCH("~"&amp;Edges[[#This Row],[Vertex 1]],GroupVertices[Vertex],0)),1,1,"")</f>
        <v>1</v>
      </c>
      <c r="BU185" s="112" t="str">
        <f>REPLACE(INDEX(GroupVertices[Group],MATCH("~"&amp;Edges[[#This Row],[Vertex 2]],GroupVertices[Vertex],0)),1,1,"")</f>
        <v>1</v>
      </c>
    </row>
    <row r="186" spans="1:73" ht="15">
      <c r="A186" s="59" t="s">
        <v>290</v>
      </c>
      <c r="B186" s="59" t="s">
        <v>439</v>
      </c>
      <c r="C186" s="60"/>
      <c r="D186" s="61"/>
      <c r="E186" s="62"/>
      <c r="F186" s="63"/>
      <c r="G186" s="60"/>
      <c r="H186" s="64"/>
      <c r="I186" s="65"/>
      <c r="J186" s="65"/>
      <c r="K186" s="30" t="s">
        <v>65</v>
      </c>
      <c r="L186" s="72">
        <v>186</v>
      </c>
      <c r="M1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6" s="67"/>
      <c r="O186" t="s">
        <v>483</v>
      </c>
      <c r="P186" s="73">
        <v>44911.466840277775</v>
      </c>
      <c r="Q186" t="s">
        <v>607</v>
      </c>
      <c r="R186">
        <v>12</v>
      </c>
      <c r="S186">
        <v>17</v>
      </c>
      <c r="T186">
        <v>1</v>
      </c>
      <c r="U186">
        <v>0</v>
      </c>
      <c r="V186">
        <v>134</v>
      </c>
      <c r="W186" s="74" t="s">
        <v>696</v>
      </c>
      <c r="Z186" t="s">
        <v>757</v>
      </c>
      <c r="AC186" s="74" t="s">
        <v>789</v>
      </c>
      <c r="AD186" t="s">
        <v>794</v>
      </c>
      <c r="AE186" s="75" t="str">
        <f>HYPERLINK("https://twitter.com/s_cintanirmala/status/1603709587341074433")</f>
        <v>https://twitter.com/s_cintanirmala/status/1603709587341074433</v>
      </c>
      <c r="AF186" s="73">
        <v>44911.466840277775</v>
      </c>
      <c r="AG186" s="77">
        <v>44911</v>
      </c>
      <c r="AH186" s="74" t="s">
        <v>921</v>
      </c>
      <c r="AV186" s="75" t="str">
        <f>HYPERLINK("https://pbs.twimg.com/profile_images/1562936385258266625/MwfjhiWX_normal.jpg")</f>
        <v>https://pbs.twimg.com/profile_images/1562936385258266625/MwfjhiWX_normal.jpg</v>
      </c>
      <c r="AW186" s="74" t="s">
        <v>1142</v>
      </c>
      <c r="AX186" s="74" t="s">
        <v>1300</v>
      </c>
      <c r="AY186" s="74" t="s">
        <v>1373</v>
      </c>
      <c r="AZ186" s="74" t="s">
        <v>1395</v>
      </c>
      <c r="BA186" s="74" t="s">
        <v>1384</v>
      </c>
      <c r="BB186" s="74" t="s">
        <v>1384</v>
      </c>
      <c r="BC186" s="74" t="s">
        <v>1395</v>
      </c>
      <c r="BD186" s="74" t="s">
        <v>1449</v>
      </c>
      <c r="BJ186" s="44"/>
      <c r="BK186" s="45"/>
      <c r="BL186" s="44"/>
      <c r="BM186" s="45"/>
      <c r="BN186" s="44"/>
      <c r="BO186" s="45"/>
      <c r="BP186" s="44"/>
      <c r="BQ186" s="45"/>
      <c r="BR186" s="44"/>
      <c r="BS186">
        <v>1</v>
      </c>
      <c r="BT186" s="112" t="str">
        <f>REPLACE(INDEX(GroupVertices[Group],MATCH("~"&amp;Edges[[#This Row],[Vertex 1]],GroupVertices[Vertex],0)),1,1,"")</f>
        <v>1</v>
      </c>
      <c r="BU186" s="112" t="str">
        <f>REPLACE(INDEX(GroupVertices[Group],MATCH("~"&amp;Edges[[#This Row],[Vertex 2]],GroupVertices[Vertex],0)),1,1,"")</f>
        <v>1</v>
      </c>
    </row>
    <row r="187" spans="1:73" ht="15">
      <c r="A187" s="59" t="s">
        <v>290</v>
      </c>
      <c r="B187" s="59" t="s">
        <v>440</v>
      </c>
      <c r="C187" s="60"/>
      <c r="D187" s="61"/>
      <c r="E187" s="62"/>
      <c r="F187" s="63"/>
      <c r="G187" s="60"/>
      <c r="H187" s="64"/>
      <c r="I187" s="65"/>
      <c r="J187" s="65"/>
      <c r="K187" s="30" t="s">
        <v>65</v>
      </c>
      <c r="L187" s="72">
        <v>187</v>
      </c>
      <c r="M1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7" s="67"/>
      <c r="O187" t="s">
        <v>483</v>
      </c>
      <c r="P187" s="73">
        <v>44911.466840277775</v>
      </c>
      <c r="Q187" t="s">
        <v>607</v>
      </c>
      <c r="R187">
        <v>12</v>
      </c>
      <c r="S187">
        <v>17</v>
      </c>
      <c r="T187">
        <v>1</v>
      </c>
      <c r="U187">
        <v>0</v>
      </c>
      <c r="V187">
        <v>134</v>
      </c>
      <c r="W187" s="74" t="s">
        <v>696</v>
      </c>
      <c r="Z187" t="s">
        <v>757</v>
      </c>
      <c r="AC187" s="74" t="s">
        <v>789</v>
      </c>
      <c r="AD187" t="s">
        <v>794</v>
      </c>
      <c r="AE187" s="75" t="str">
        <f>HYPERLINK("https://twitter.com/s_cintanirmala/status/1603709587341074433")</f>
        <v>https://twitter.com/s_cintanirmala/status/1603709587341074433</v>
      </c>
      <c r="AF187" s="73">
        <v>44911.466840277775</v>
      </c>
      <c r="AG187" s="77">
        <v>44911</v>
      </c>
      <c r="AH187" s="74" t="s">
        <v>921</v>
      </c>
      <c r="AV187" s="75" t="str">
        <f>HYPERLINK("https://pbs.twimg.com/profile_images/1562936385258266625/MwfjhiWX_normal.jpg")</f>
        <v>https://pbs.twimg.com/profile_images/1562936385258266625/MwfjhiWX_normal.jpg</v>
      </c>
      <c r="AW187" s="74" t="s">
        <v>1142</v>
      </c>
      <c r="AX187" s="74" t="s">
        <v>1300</v>
      </c>
      <c r="AY187" s="74" t="s">
        <v>1373</v>
      </c>
      <c r="AZ187" s="74" t="s">
        <v>1395</v>
      </c>
      <c r="BA187" s="74" t="s">
        <v>1384</v>
      </c>
      <c r="BB187" s="74" t="s">
        <v>1384</v>
      </c>
      <c r="BC187" s="74" t="s">
        <v>1395</v>
      </c>
      <c r="BD187" s="74" t="s">
        <v>1449</v>
      </c>
      <c r="BJ187" s="44"/>
      <c r="BK187" s="45"/>
      <c r="BL187" s="44"/>
      <c r="BM187" s="45"/>
      <c r="BN187" s="44"/>
      <c r="BO187" s="45"/>
      <c r="BP187" s="44"/>
      <c r="BQ187" s="45"/>
      <c r="BR187" s="44"/>
      <c r="BS187">
        <v>1</v>
      </c>
      <c r="BT187" s="112" t="str">
        <f>REPLACE(INDEX(GroupVertices[Group],MATCH("~"&amp;Edges[[#This Row],[Vertex 1]],GroupVertices[Vertex],0)),1,1,"")</f>
        <v>1</v>
      </c>
      <c r="BU187" s="112" t="str">
        <f>REPLACE(INDEX(GroupVertices[Group],MATCH("~"&amp;Edges[[#This Row],[Vertex 2]],GroupVertices[Vertex],0)),1,1,"")</f>
        <v>1</v>
      </c>
    </row>
    <row r="188" spans="1:73" ht="15">
      <c r="A188" s="59" t="s">
        <v>290</v>
      </c>
      <c r="B188" s="59" t="s">
        <v>441</v>
      </c>
      <c r="C188" s="60"/>
      <c r="D188" s="61"/>
      <c r="E188" s="62"/>
      <c r="F188" s="63"/>
      <c r="G188" s="60"/>
      <c r="H188" s="64"/>
      <c r="I188" s="65"/>
      <c r="J188" s="65"/>
      <c r="K188" s="30" t="s">
        <v>65</v>
      </c>
      <c r="L188" s="72">
        <v>188</v>
      </c>
      <c r="M1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8" s="67"/>
      <c r="O188" t="s">
        <v>483</v>
      </c>
      <c r="P188" s="73">
        <v>44911.466840277775</v>
      </c>
      <c r="Q188" t="s">
        <v>607</v>
      </c>
      <c r="R188">
        <v>12</v>
      </c>
      <c r="S188">
        <v>17</v>
      </c>
      <c r="T188">
        <v>1</v>
      </c>
      <c r="U188">
        <v>0</v>
      </c>
      <c r="V188">
        <v>134</v>
      </c>
      <c r="W188" s="74" t="s">
        <v>696</v>
      </c>
      <c r="Z188" t="s">
        <v>757</v>
      </c>
      <c r="AC188" s="74" t="s">
        <v>789</v>
      </c>
      <c r="AD188" t="s">
        <v>794</v>
      </c>
      <c r="AE188" s="75" t="str">
        <f>HYPERLINK("https://twitter.com/s_cintanirmala/status/1603709587341074433")</f>
        <v>https://twitter.com/s_cintanirmala/status/1603709587341074433</v>
      </c>
      <c r="AF188" s="73">
        <v>44911.466840277775</v>
      </c>
      <c r="AG188" s="77">
        <v>44911</v>
      </c>
      <c r="AH188" s="74" t="s">
        <v>921</v>
      </c>
      <c r="AV188" s="75" t="str">
        <f>HYPERLINK("https://pbs.twimg.com/profile_images/1562936385258266625/MwfjhiWX_normal.jpg")</f>
        <v>https://pbs.twimg.com/profile_images/1562936385258266625/MwfjhiWX_normal.jpg</v>
      </c>
      <c r="AW188" s="74" t="s">
        <v>1142</v>
      </c>
      <c r="AX188" s="74" t="s">
        <v>1300</v>
      </c>
      <c r="AY188" s="74" t="s">
        <v>1373</v>
      </c>
      <c r="AZ188" s="74" t="s">
        <v>1395</v>
      </c>
      <c r="BA188" s="74" t="s">
        <v>1384</v>
      </c>
      <c r="BB188" s="74" t="s">
        <v>1384</v>
      </c>
      <c r="BC188" s="74" t="s">
        <v>1395</v>
      </c>
      <c r="BD188" s="74" t="s">
        <v>1449</v>
      </c>
      <c r="BJ188" s="44"/>
      <c r="BK188" s="45"/>
      <c r="BL188" s="44"/>
      <c r="BM188" s="45"/>
      <c r="BN188" s="44"/>
      <c r="BO188" s="45"/>
      <c r="BP188" s="44"/>
      <c r="BQ188" s="45"/>
      <c r="BR188" s="44"/>
      <c r="BS188">
        <v>1</v>
      </c>
      <c r="BT188" s="112" t="str">
        <f>REPLACE(INDEX(GroupVertices[Group],MATCH("~"&amp;Edges[[#This Row],[Vertex 1]],GroupVertices[Vertex],0)),1,1,"")</f>
        <v>1</v>
      </c>
      <c r="BU188" s="112" t="str">
        <f>REPLACE(INDEX(GroupVertices[Group],MATCH("~"&amp;Edges[[#This Row],[Vertex 2]],GroupVertices[Vertex],0)),1,1,"")</f>
        <v>1</v>
      </c>
    </row>
    <row r="189" spans="1:73" ht="15">
      <c r="A189" s="59" t="s">
        <v>290</v>
      </c>
      <c r="B189" s="59" t="s">
        <v>442</v>
      </c>
      <c r="C189" s="60"/>
      <c r="D189" s="61"/>
      <c r="E189" s="62"/>
      <c r="F189" s="63"/>
      <c r="G189" s="60"/>
      <c r="H189" s="64"/>
      <c r="I189" s="65"/>
      <c r="J189" s="65"/>
      <c r="K189" s="30" t="s">
        <v>65</v>
      </c>
      <c r="L189" s="72">
        <v>189</v>
      </c>
      <c r="M1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9" s="67"/>
      <c r="O189" t="s">
        <v>483</v>
      </c>
      <c r="P189" s="73">
        <v>44911.466840277775</v>
      </c>
      <c r="Q189" t="s">
        <v>607</v>
      </c>
      <c r="R189">
        <v>12</v>
      </c>
      <c r="S189">
        <v>17</v>
      </c>
      <c r="T189">
        <v>1</v>
      </c>
      <c r="U189">
        <v>0</v>
      </c>
      <c r="V189">
        <v>134</v>
      </c>
      <c r="W189" s="74" t="s">
        <v>696</v>
      </c>
      <c r="Z189" t="s">
        <v>757</v>
      </c>
      <c r="AC189" s="74" t="s">
        <v>789</v>
      </c>
      <c r="AD189" t="s">
        <v>794</v>
      </c>
      <c r="AE189" s="75" t="str">
        <f>HYPERLINK("https://twitter.com/s_cintanirmala/status/1603709587341074433")</f>
        <v>https://twitter.com/s_cintanirmala/status/1603709587341074433</v>
      </c>
      <c r="AF189" s="73">
        <v>44911.466840277775</v>
      </c>
      <c r="AG189" s="77">
        <v>44911</v>
      </c>
      <c r="AH189" s="74" t="s">
        <v>921</v>
      </c>
      <c r="AV189" s="75" t="str">
        <f>HYPERLINK("https://pbs.twimg.com/profile_images/1562936385258266625/MwfjhiWX_normal.jpg")</f>
        <v>https://pbs.twimg.com/profile_images/1562936385258266625/MwfjhiWX_normal.jpg</v>
      </c>
      <c r="AW189" s="74" t="s">
        <v>1142</v>
      </c>
      <c r="AX189" s="74" t="s">
        <v>1300</v>
      </c>
      <c r="AY189" s="74" t="s">
        <v>1373</v>
      </c>
      <c r="AZ189" s="74" t="s">
        <v>1395</v>
      </c>
      <c r="BA189" s="74" t="s">
        <v>1384</v>
      </c>
      <c r="BB189" s="74" t="s">
        <v>1384</v>
      </c>
      <c r="BC189" s="74" t="s">
        <v>1395</v>
      </c>
      <c r="BD189" s="74" t="s">
        <v>1449</v>
      </c>
      <c r="BJ189" s="44"/>
      <c r="BK189" s="45"/>
      <c r="BL189" s="44"/>
      <c r="BM189" s="45"/>
      <c r="BN189" s="44"/>
      <c r="BO189" s="45"/>
      <c r="BP189" s="44"/>
      <c r="BQ189" s="45"/>
      <c r="BR189" s="44"/>
      <c r="BS189">
        <v>1</v>
      </c>
      <c r="BT189" s="112" t="str">
        <f>REPLACE(INDEX(GroupVertices[Group],MATCH("~"&amp;Edges[[#This Row],[Vertex 1]],GroupVertices[Vertex],0)),1,1,"")</f>
        <v>1</v>
      </c>
      <c r="BU189" s="112" t="str">
        <f>REPLACE(INDEX(GroupVertices[Group],MATCH("~"&amp;Edges[[#This Row],[Vertex 2]],GroupVertices[Vertex],0)),1,1,"")</f>
        <v>1</v>
      </c>
    </row>
    <row r="190" spans="1:73" ht="15">
      <c r="A190" s="59" t="s">
        <v>290</v>
      </c>
      <c r="B190" s="59" t="s">
        <v>443</v>
      </c>
      <c r="C190" s="60"/>
      <c r="D190" s="61"/>
      <c r="E190" s="62"/>
      <c r="F190" s="63"/>
      <c r="G190" s="60"/>
      <c r="H190" s="64"/>
      <c r="I190" s="65"/>
      <c r="J190" s="65"/>
      <c r="K190" s="30" t="s">
        <v>65</v>
      </c>
      <c r="L190" s="72">
        <v>190</v>
      </c>
      <c r="M1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0" s="67"/>
      <c r="O190" t="s">
        <v>483</v>
      </c>
      <c r="P190" s="73">
        <v>44911.466840277775</v>
      </c>
      <c r="Q190" t="s">
        <v>607</v>
      </c>
      <c r="R190">
        <v>12</v>
      </c>
      <c r="S190">
        <v>17</v>
      </c>
      <c r="T190">
        <v>1</v>
      </c>
      <c r="U190">
        <v>0</v>
      </c>
      <c r="V190">
        <v>134</v>
      </c>
      <c r="W190" s="74" t="s">
        <v>696</v>
      </c>
      <c r="Z190" t="s">
        <v>757</v>
      </c>
      <c r="AC190" s="74" t="s">
        <v>789</v>
      </c>
      <c r="AD190" t="s">
        <v>794</v>
      </c>
      <c r="AE190" s="75" t="str">
        <f>HYPERLINK("https://twitter.com/s_cintanirmala/status/1603709587341074433")</f>
        <v>https://twitter.com/s_cintanirmala/status/1603709587341074433</v>
      </c>
      <c r="AF190" s="73">
        <v>44911.466840277775</v>
      </c>
      <c r="AG190" s="77">
        <v>44911</v>
      </c>
      <c r="AH190" s="74" t="s">
        <v>921</v>
      </c>
      <c r="AV190" s="75" t="str">
        <f>HYPERLINK("https://pbs.twimg.com/profile_images/1562936385258266625/MwfjhiWX_normal.jpg")</f>
        <v>https://pbs.twimg.com/profile_images/1562936385258266625/MwfjhiWX_normal.jpg</v>
      </c>
      <c r="AW190" s="74" t="s">
        <v>1142</v>
      </c>
      <c r="AX190" s="74" t="s">
        <v>1300</v>
      </c>
      <c r="AY190" s="74" t="s">
        <v>1373</v>
      </c>
      <c r="AZ190" s="74" t="s">
        <v>1395</v>
      </c>
      <c r="BA190" s="74" t="s">
        <v>1384</v>
      </c>
      <c r="BB190" s="74" t="s">
        <v>1384</v>
      </c>
      <c r="BC190" s="74" t="s">
        <v>1395</v>
      </c>
      <c r="BD190" s="74" t="s">
        <v>1449</v>
      </c>
      <c r="BJ190" s="44"/>
      <c r="BK190" s="45"/>
      <c r="BL190" s="44"/>
      <c r="BM190" s="45"/>
      <c r="BN190" s="44"/>
      <c r="BO190" s="45"/>
      <c r="BP190" s="44"/>
      <c r="BQ190" s="45"/>
      <c r="BR190" s="44"/>
      <c r="BS190">
        <v>1</v>
      </c>
      <c r="BT190" s="112" t="str">
        <f>REPLACE(INDEX(GroupVertices[Group],MATCH("~"&amp;Edges[[#This Row],[Vertex 1]],GroupVertices[Vertex],0)),1,1,"")</f>
        <v>1</v>
      </c>
      <c r="BU190" s="112" t="str">
        <f>REPLACE(INDEX(GroupVertices[Group],MATCH("~"&amp;Edges[[#This Row],[Vertex 2]],GroupVertices[Vertex],0)),1,1,"")</f>
        <v>1</v>
      </c>
    </row>
    <row r="191" spans="1:73" ht="15">
      <c r="A191" s="59" t="s">
        <v>290</v>
      </c>
      <c r="B191" s="59" t="s">
        <v>444</v>
      </c>
      <c r="C191" s="60"/>
      <c r="D191" s="61"/>
      <c r="E191" s="62"/>
      <c r="F191" s="63"/>
      <c r="G191" s="60"/>
      <c r="H191" s="64"/>
      <c r="I191" s="65"/>
      <c r="J191" s="65"/>
      <c r="K191" s="30" t="s">
        <v>65</v>
      </c>
      <c r="L191" s="72">
        <v>191</v>
      </c>
      <c r="M1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1" s="67"/>
      <c r="O191" t="s">
        <v>483</v>
      </c>
      <c r="P191" s="73">
        <v>44911.466840277775</v>
      </c>
      <c r="Q191" t="s">
        <v>607</v>
      </c>
      <c r="R191">
        <v>12</v>
      </c>
      <c r="S191">
        <v>17</v>
      </c>
      <c r="T191">
        <v>1</v>
      </c>
      <c r="U191">
        <v>0</v>
      </c>
      <c r="V191">
        <v>134</v>
      </c>
      <c r="W191" s="74" t="s">
        <v>696</v>
      </c>
      <c r="Z191" t="s">
        <v>757</v>
      </c>
      <c r="AC191" s="74" t="s">
        <v>789</v>
      </c>
      <c r="AD191" t="s">
        <v>794</v>
      </c>
      <c r="AE191" s="75" t="str">
        <f>HYPERLINK("https://twitter.com/s_cintanirmala/status/1603709587341074433")</f>
        <v>https://twitter.com/s_cintanirmala/status/1603709587341074433</v>
      </c>
      <c r="AF191" s="73">
        <v>44911.466840277775</v>
      </c>
      <c r="AG191" s="77">
        <v>44911</v>
      </c>
      <c r="AH191" s="74" t="s">
        <v>921</v>
      </c>
      <c r="AV191" s="75" t="str">
        <f>HYPERLINK("https://pbs.twimg.com/profile_images/1562936385258266625/MwfjhiWX_normal.jpg")</f>
        <v>https://pbs.twimg.com/profile_images/1562936385258266625/MwfjhiWX_normal.jpg</v>
      </c>
      <c r="AW191" s="74" t="s">
        <v>1142</v>
      </c>
      <c r="AX191" s="74" t="s">
        <v>1300</v>
      </c>
      <c r="AY191" s="74" t="s">
        <v>1373</v>
      </c>
      <c r="AZ191" s="74" t="s">
        <v>1395</v>
      </c>
      <c r="BA191" s="74" t="s">
        <v>1384</v>
      </c>
      <c r="BB191" s="74" t="s">
        <v>1384</v>
      </c>
      <c r="BC191" s="74" t="s">
        <v>1395</v>
      </c>
      <c r="BD191" s="74" t="s">
        <v>1449</v>
      </c>
      <c r="BJ191" s="44"/>
      <c r="BK191" s="45"/>
      <c r="BL191" s="44"/>
      <c r="BM191" s="45"/>
      <c r="BN191" s="44"/>
      <c r="BO191" s="45"/>
      <c r="BP191" s="44"/>
      <c r="BQ191" s="45"/>
      <c r="BR191" s="44"/>
      <c r="BS191">
        <v>1</v>
      </c>
      <c r="BT191" s="112" t="str">
        <f>REPLACE(INDEX(GroupVertices[Group],MATCH("~"&amp;Edges[[#This Row],[Vertex 1]],GroupVertices[Vertex],0)),1,1,"")</f>
        <v>1</v>
      </c>
      <c r="BU191" s="112" t="str">
        <f>REPLACE(INDEX(GroupVertices[Group],MATCH("~"&amp;Edges[[#This Row],[Vertex 2]],GroupVertices[Vertex],0)),1,1,"")</f>
        <v>1</v>
      </c>
    </row>
    <row r="192" spans="1:73" ht="15">
      <c r="A192" s="59" t="s">
        <v>290</v>
      </c>
      <c r="B192" s="59" t="s">
        <v>445</v>
      </c>
      <c r="C192" s="60"/>
      <c r="D192" s="61"/>
      <c r="E192" s="62"/>
      <c r="F192" s="63"/>
      <c r="G192" s="60"/>
      <c r="H192" s="64"/>
      <c r="I192" s="65"/>
      <c r="J192" s="65"/>
      <c r="K192" s="30" t="s">
        <v>65</v>
      </c>
      <c r="L192" s="72">
        <v>192</v>
      </c>
      <c r="M1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2" s="67"/>
      <c r="O192" t="s">
        <v>483</v>
      </c>
      <c r="P192" s="73">
        <v>44911.466840277775</v>
      </c>
      <c r="Q192" t="s">
        <v>607</v>
      </c>
      <c r="R192">
        <v>12</v>
      </c>
      <c r="S192">
        <v>17</v>
      </c>
      <c r="T192">
        <v>1</v>
      </c>
      <c r="U192">
        <v>0</v>
      </c>
      <c r="V192">
        <v>134</v>
      </c>
      <c r="W192" s="74" t="s">
        <v>696</v>
      </c>
      <c r="Z192" t="s">
        <v>757</v>
      </c>
      <c r="AC192" s="74" t="s">
        <v>789</v>
      </c>
      <c r="AD192" t="s">
        <v>794</v>
      </c>
      <c r="AE192" s="75" t="str">
        <f>HYPERLINK("https://twitter.com/s_cintanirmala/status/1603709587341074433")</f>
        <v>https://twitter.com/s_cintanirmala/status/1603709587341074433</v>
      </c>
      <c r="AF192" s="73">
        <v>44911.466840277775</v>
      </c>
      <c r="AG192" s="77">
        <v>44911</v>
      </c>
      <c r="AH192" s="74" t="s">
        <v>921</v>
      </c>
      <c r="AV192" s="75" t="str">
        <f>HYPERLINK("https://pbs.twimg.com/profile_images/1562936385258266625/MwfjhiWX_normal.jpg")</f>
        <v>https://pbs.twimg.com/profile_images/1562936385258266625/MwfjhiWX_normal.jpg</v>
      </c>
      <c r="AW192" s="74" t="s">
        <v>1142</v>
      </c>
      <c r="AX192" s="74" t="s">
        <v>1300</v>
      </c>
      <c r="AY192" s="74" t="s">
        <v>1373</v>
      </c>
      <c r="AZ192" s="74" t="s">
        <v>1395</v>
      </c>
      <c r="BA192" s="74" t="s">
        <v>1384</v>
      </c>
      <c r="BB192" s="74" t="s">
        <v>1384</v>
      </c>
      <c r="BC192" s="74" t="s">
        <v>1395</v>
      </c>
      <c r="BD192" s="74" t="s">
        <v>1449</v>
      </c>
      <c r="BJ192" s="44"/>
      <c r="BK192" s="45"/>
      <c r="BL192" s="44"/>
      <c r="BM192" s="45"/>
      <c r="BN192" s="44"/>
      <c r="BO192" s="45"/>
      <c r="BP192" s="44"/>
      <c r="BQ192" s="45"/>
      <c r="BR192" s="44"/>
      <c r="BS192">
        <v>1</v>
      </c>
      <c r="BT192" s="112" t="str">
        <f>REPLACE(INDEX(GroupVertices[Group],MATCH("~"&amp;Edges[[#This Row],[Vertex 1]],GroupVertices[Vertex],0)),1,1,"")</f>
        <v>1</v>
      </c>
      <c r="BU192" s="112" t="str">
        <f>REPLACE(INDEX(GroupVertices[Group],MATCH("~"&amp;Edges[[#This Row],[Vertex 2]],GroupVertices[Vertex],0)),1,1,"")</f>
        <v>1</v>
      </c>
    </row>
    <row r="193" spans="1:73" ht="15">
      <c r="A193" s="59" t="s">
        <v>290</v>
      </c>
      <c r="B193" s="59" t="s">
        <v>446</v>
      </c>
      <c r="C193" s="60"/>
      <c r="D193" s="61"/>
      <c r="E193" s="62"/>
      <c r="F193" s="63"/>
      <c r="G193" s="60"/>
      <c r="H193" s="64"/>
      <c r="I193" s="65"/>
      <c r="J193" s="65"/>
      <c r="K193" s="30" t="s">
        <v>65</v>
      </c>
      <c r="L193" s="72">
        <v>193</v>
      </c>
      <c r="M1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3" s="67"/>
      <c r="O193" t="s">
        <v>483</v>
      </c>
      <c r="P193" s="73">
        <v>44911.466840277775</v>
      </c>
      <c r="Q193" t="s">
        <v>607</v>
      </c>
      <c r="R193">
        <v>12</v>
      </c>
      <c r="S193">
        <v>17</v>
      </c>
      <c r="T193">
        <v>1</v>
      </c>
      <c r="U193">
        <v>0</v>
      </c>
      <c r="V193">
        <v>134</v>
      </c>
      <c r="W193" s="74" t="s">
        <v>696</v>
      </c>
      <c r="Z193" t="s">
        <v>757</v>
      </c>
      <c r="AC193" s="74" t="s">
        <v>789</v>
      </c>
      <c r="AD193" t="s">
        <v>794</v>
      </c>
      <c r="AE193" s="75" t="str">
        <f>HYPERLINK("https://twitter.com/s_cintanirmala/status/1603709587341074433")</f>
        <v>https://twitter.com/s_cintanirmala/status/1603709587341074433</v>
      </c>
      <c r="AF193" s="73">
        <v>44911.466840277775</v>
      </c>
      <c r="AG193" s="77">
        <v>44911</v>
      </c>
      <c r="AH193" s="74" t="s">
        <v>921</v>
      </c>
      <c r="AV193" s="75" t="str">
        <f>HYPERLINK("https://pbs.twimg.com/profile_images/1562936385258266625/MwfjhiWX_normal.jpg")</f>
        <v>https://pbs.twimg.com/profile_images/1562936385258266625/MwfjhiWX_normal.jpg</v>
      </c>
      <c r="AW193" s="74" t="s">
        <v>1142</v>
      </c>
      <c r="AX193" s="74" t="s">
        <v>1300</v>
      </c>
      <c r="AY193" s="74" t="s">
        <v>1373</v>
      </c>
      <c r="AZ193" s="74" t="s">
        <v>1395</v>
      </c>
      <c r="BA193" s="74" t="s">
        <v>1384</v>
      </c>
      <c r="BB193" s="74" t="s">
        <v>1384</v>
      </c>
      <c r="BC193" s="74" t="s">
        <v>1395</v>
      </c>
      <c r="BD193" s="74" t="s">
        <v>1449</v>
      </c>
      <c r="BJ193" s="44"/>
      <c r="BK193" s="45"/>
      <c r="BL193" s="44"/>
      <c r="BM193" s="45"/>
      <c r="BN193" s="44"/>
      <c r="BO193" s="45"/>
      <c r="BP193" s="44"/>
      <c r="BQ193" s="45"/>
      <c r="BR193" s="44"/>
      <c r="BS193">
        <v>1</v>
      </c>
      <c r="BT193" s="112" t="str">
        <f>REPLACE(INDEX(GroupVertices[Group],MATCH("~"&amp;Edges[[#This Row],[Vertex 1]],GroupVertices[Vertex],0)),1,1,"")</f>
        <v>1</v>
      </c>
      <c r="BU193" s="112" t="str">
        <f>REPLACE(INDEX(GroupVertices[Group],MATCH("~"&amp;Edges[[#This Row],[Vertex 2]],GroupVertices[Vertex],0)),1,1,"")</f>
        <v>1</v>
      </c>
    </row>
    <row r="194" spans="1:73" ht="15">
      <c r="A194" s="59" t="s">
        <v>290</v>
      </c>
      <c r="B194" s="59" t="s">
        <v>447</v>
      </c>
      <c r="C194" s="60"/>
      <c r="D194" s="61"/>
      <c r="E194" s="62"/>
      <c r="F194" s="63"/>
      <c r="G194" s="60"/>
      <c r="H194" s="64"/>
      <c r="I194" s="65"/>
      <c r="J194" s="65"/>
      <c r="K194" s="30" t="s">
        <v>65</v>
      </c>
      <c r="L194" s="72">
        <v>194</v>
      </c>
      <c r="M1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4" s="67"/>
      <c r="O194" t="s">
        <v>483</v>
      </c>
      <c r="P194" s="73">
        <v>44911.466840277775</v>
      </c>
      <c r="Q194" t="s">
        <v>607</v>
      </c>
      <c r="R194">
        <v>12</v>
      </c>
      <c r="S194">
        <v>17</v>
      </c>
      <c r="T194">
        <v>1</v>
      </c>
      <c r="U194">
        <v>0</v>
      </c>
      <c r="V194">
        <v>134</v>
      </c>
      <c r="W194" s="74" t="s">
        <v>696</v>
      </c>
      <c r="Z194" t="s">
        <v>757</v>
      </c>
      <c r="AC194" s="74" t="s">
        <v>789</v>
      </c>
      <c r="AD194" t="s">
        <v>794</v>
      </c>
      <c r="AE194" s="75" t="str">
        <f>HYPERLINK("https://twitter.com/s_cintanirmala/status/1603709587341074433")</f>
        <v>https://twitter.com/s_cintanirmala/status/1603709587341074433</v>
      </c>
      <c r="AF194" s="73">
        <v>44911.466840277775</v>
      </c>
      <c r="AG194" s="77">
        <v>44911</v>
      </c>
      <c r="AH194" s="74" t="s">
        <v>921</v>
      </c>
      <c r="AV194" s="75" t="str">
        <f>HYPERLINK("https://pbs.twimg.com/profile_images/1562936385258266625/MwfjhiWX_normal.jpg")</f>
        <v>https://pbs.twimg.com/profile_images/1562936385258266625/MwfjhiWX_normal.jpg</v>
      </c>
      <c r="AW194" s="74" t="s">
        <v>1142</v>
      </c>
      <c r="AX194" s="74" t="s">
        <v>1300</v>
      </c>
      <c r="AY194" s="74" t="s">
        <v>1373</v>
      </c>
      <c r="AZ194" s="74" t="s">
        <v>1395</v>
      </c>
      <c r="BA194" s="74" t="s">
        <v>1384</v>
      </c>
      <c r="BB194" s="74" t="s">
        <v>1384</v>
      </c>
      <c r="BC194" s="74" t="s">
        <v>1395</v>
      </c>
      <c r="BD194" s="74" t="s">
        <v>1449</v>
      </c>
      <c r="BJ194" s="44"/>
      <c r="BK194" s="45"/>
      <c r="BL194" s="44"/>
      <c r="BM194" s="45"/>
      <c r="BN194" s="44"/>
      <c r="BO194" s="45"/>
      <c r="BP194" s="44"/>
      <c r="BQ194" s="45"/>
      <c r="BR194" s="44"/>
      <c r="BS194">
        <v>1</v>
      </c>
      <c r="BT194" s="112" t="str">
        <f>REPLACE(INDEX(GroupVertices[Group],MATCH("~"&amp;Edges[[#This Row],[Vertex 1]],GroupVertices[Vertex],0)),1,1,"")</f>
        <v>1</v>
      </c>
      <c r="BU194" s="112" t="str">
        <f>REPLACE(INDEX(GroupVertices[Group],MATCH("~"&amp;Edges[[#This Row],[Vertex 2]],GroupVertices[Vertex],0)),1,1,"")</f>
        <v>1</v>
      </c>
    </row>
    <row r="195" spans="1:73" ht="15">
      <c r="A195" s="59" t="s">
        <v>290</v>
      </c>
      <c r="B195" s="59" t="s">
        <v>448</v>
      </c>
      <c r="C195" s="60"/>
      <c r="D195" s="61"/>
      <c r="E195" s="62"/>
      <c r="F195" s="63"/>
      <c r="G195" s="60"/>
      <c r="H195" s="64"/>
      <c r="I195" s="65"/>
      <c r="J195" s="65"/>
      <c r="K195" s="30" t="s">
        <v>65</v>
      </c>
      <c r="L195" s="72">
        <v>195</v>
      </c>
      <c r="M1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5" s="67"/>
      <c r="O195" t="s">
        <v>483</v>
      </c>
      <c r="P195" s="73">
        <v>44911.466840277775</v>
      </c>
      <c r="Q195" t="s">
        <v>607</v>
      </c>
      <c r="R195">
        <v>12</v>
      </c>
      <c r="S195">
        <v>17</v>
      </c>
      <c r="T195">
        <v>1</v>
      </c>
      <c r="U195">
        <v>0</v>
      </c>
      <c r="V195">
        <v>134</v>
      </c>
      <c r="W195" s="74" t="s">
        <v>696</v>
      </c>
      <c r="Z195" t="s">
        <v>757</v>
      </c>
      <c r="AC195" s="74" t="s">
        <v>789</v>
      </c>
      <c r="AD195" t="s">
        <v>794</v>
      </c>
      <c r="AE195" s="75" t="str">
        <f>HYPERLINK("https://twitter.com/s_cintanirmala/status/1603709587341074433")</f>
        <v>https://twitter.com/s_cintanirmala/status/1603709587341074433</v>
      </c>
      <c r="AF195" s="73">
        <v>44911.466840277775</v>
      </c>
      <c r="AG195" s="77">
        <v>44911</v>
      </c>
      <c r="AH195" s="74" t="s">
        <v>921</v>
      </c>
      <c r="AV195" s="75" t="str">
        <f>HYPERLINK("https://pbs.twimg.com/profile_images/1562936385258266625/MwfjhiWX_normal.jpg")</f>
        <v>https://pbs.twimg.com/profile_images/1562936385258266625/MwfjhiWX_normal.jpg</v>
      </c>
      <c r="AW195" s="74" t="s">
        <v>1142</v>
      </c>
      <c r="AX195" s="74" t="s">
        <v>1300</v>
      </c>
      <c r="AY195" s="74" t="s">
        <v>1373</v>
      </c>
      <c r="AZ195" s="74" t="s">
        <v>1395</v>
      </c>
      <c r="BA195" s="74" t="s">
        <v>1384</v>
      </c>
      <c r="BB195" s="74" t="s">
        <v>1384</v>
      </c>
      <c r="BC195" s="74" t="s">
        <v>1395</v>
      </c>
      <c r="BD195" s="74" t="s">
        <v>1449</v>
      </c>
      <c r="BJ195" s="44"/>
      <c r="BK195" s="45"/>
      <c r="BL195" s="44"/>
      <c r="BM195" s="45"/>
      <c r="BN195" s="44"/>
      <c r="BO195" s="45"/>
      <c r="BP195" s="44"/>
      <c r="BQ195" s="45"/>
      <c r="BR195" s="44"/>
      <c r="BS195">
        <v>1</v>
      </c>
      <c r="BT195" s="112" t="str">
        <f>REPLACE(INDEX(GroupVertices[Group],MATCH("~"&amp;Edges[[#This Row],[Vertex 1]],GroupVertices[Vertex],0)),1,1,"")</f>
        <v>1</v>
      </c>
      <c r="BU195" s="112" t="str">
        <f>REPLACE(INDEX(GroupVertices[Group],MATCH("~"&amp;Edges[[#This Row],[Vertex 2]],GroupVertices[Vertex],0)),1,1,"")</f>
        <v>1</v>
      </c>
    </row>
    <row r="196" spans="1:73" ht="15">
      <c r="A196" s="59" t="s">
        <v>290</v>
      </c>
      <c r="B196" s="59" t="s">
        <v>449</v>
      </c>
      <c r="C196" s="60"/>
      <c r="D196" s="61"/>
      <c r="E196" s="62"/>
      <c r="F196" s="63"/>
      <c r="G196" s="60"/>
      <c r="H196" s="64"/>
      <c r="I196" s="65"/>
      <c r="J196" s="65"/>
      <c r="K196" s="30" t="s">
        <v>65</v>
      </c>
      <c r="L196" s="72">
        <v>196</v>
      </c>
      <c r="M1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6" s="67"/>
      <c r="O196" t="s">
        <v>483</v>
      </c>
      <c r="P196" s="73">
        <v>44911.466840277775</v>
      </c>
      <c r="Q196" t="s">
        <v>607</v>
      </c>
      <c r="R196">
        <v>12</v>
      </c>
      <c r="S196">
        <v>17</v>
      </c>
      <c r="T196">
        <v>1</v>
      </c>
      <c r="U196">
        <v>0</v>
      </c>
      <c r="V196">
        <v>134</v>
      </c>
      <c r="W196" s="74" t="s">
        <v>696</v>
      </c>
      <c r="Z196" t="s">
        <v>757</v>
      </c>
      <c r="AC196" s="74" t="s">
        <v>789</v>
      </c>
      <c r="AD196" t="s">
        <v>794</v>
      </c>
      <c r="AE196" s="75" t="str">
        <f>HYPERLINK("https://twitter.com/s_cintanirmala/status/1603709587341074433")</f>
        <v>https://twitter.com/s_cintanirmala/status/1603709587341074433</v>
      </c>
      <c r="AF196" s="73">
        <v>44911.466840277775</v>
      </c>
      <c r="AG196" s="77">
        <v>44911</v>
      </c>
      <c r="AH196" s="74" t="s">
        <v>921</v>
      </c>
      <c r="AV196" s="75" t="str">
        <f>HYPERLINK("https://pbs.twimg.com/profile_images/1562936385258266625/MwfjhiWX_normal.jpg")</f>
        <v>https://pbs.twimg.com/profile_images/1562936385258266625/MwfjhiWX_normal.jpg</v>
      </c>
      <c r="AW196" s="74" t="s">
        <v>1142</v>
      </c>
      <c r="AX196" s="74" t="s">
        <v>1300</v>
      </c>
      <c r="AY196" s="74" t="s">
        <v>1373</v>
      </c>
      <c r="AZ196" s="74" t="s">
        <v>1395</v>
      </c>
      <c r="BA196" s="74" t="s">
        <v>1384</v>
      </c>
      <c r="BB196" s="74" t="s">
        <v>1384</v>
      </c>
      <c r="BC196" s="74" t="s">
        <v>1395</v>
      </c>
      <c r="BD196" s="74" t="s">
        <v>1449</v>
      </c>
      <c r="BJ196" s="44"/>
      <c r="BK196" s="45"/>
      <c r="BL196" s="44"/>
      <c r="BM196" s="45"/>
      <c r="BN196" s="44"/>
      <c r="BO196" s="45"/>
      <c r="BP196" s="44"/>
      <c r="BQ196" s="45"/>
      <c r="BR196" s="44"/>
      <c r="BS196">
        <v>1</v>
      </c>
      <c r="BT196" s="112" t="str">
        <f>REPLACE(INDEX(GroupVertices[Group],MATCH("~"&amp;Edges[[#This Row],[Vertex 1]],GroupVertices[Vertex],0)),1,1,"")</f>
        <v>1</v>
      </c>
      <c r="BU196" s="112" t="str">
        <f>REPLACE(INDEX(GroupVertices[Group],MATCH("~"&amp;Edges[[#This Row],[Vertex 2]],GroupVertices[Vertex],0)),1,1,"")</f>
        <v>1</v>
      </c>
    </row>
    <row r="197" spans="1:73" ht="15">
      <c r="A197" s="59" t="s">
        <v>290</v>
      </c>
      <c r="B197" s="59" t="s">
        <v>450</v>
      </c>
      <c r="C197" s="60"/>
      <c r="D197" s="61"/>
      <c r="E197" s="62"/>
      <c r="F197" s="63"/>
      <c r="G197" s="60"/>
      <c r="H197" s="64"/>
      <c r="I197" s="65"/>
      <c r="J197" s="65"/>
      <c r="K197" s="30" t="s">
        <v>65</v>
      </c>
      <c r="L197" s="72">
        <v>197</v>
      </c>
      <c r="M1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7" s="67"/>
      <c r="O197" t="s">
        <v>483</v>
      </c>
      <c r="P197" s="73">
        <v>44911.466840277775</v>
      </c>
      <c r="Q197" t="s">
        <v>607</v>
      </c>
      <c r="R197">
        <v>12</v>
      </c>
      <c r="S197">
        <v>17</v>
      </c>
      <c r="T197">
        <v>1</v>
      </c>
      <c r="U197">
        <v>0</v>
      </c>
      <c r="V197">
        <v>134</v>
      </c>
      <c r="W197" s="74" t="s">
        <v>696</v>
      </c>
      <c r="Z197" t="s">
        <v>757</v>
      </c>
      <c r="AC197" s="74" t="s">
        <v>789</v>
      </c>
      <c r="AD197" t="s">
        <v>794</v>
      </c>
      <c r="AE197" s="75" t="str">
        <f>HYPERLINK("https://twitter.com/s_cintanirmala/status/1603709587341074433")</f>
        <v>https://twitter.com/s_cintanirmala/status/1603709587341074433</v>
      </c>
      <c r="AF197" s="73">
        <v>44911.466840277775</v>
      </c>
      <c r="AG197" s="77">
        <v>44911</v>
      </c>
      <c r="AH197" s="74" t="s">
        <v>921</v>
      </c>
      <c r="AV197" s="75" t="str">
        <f>HYPERLINK("https://pbs.twimg.com/profile_images/1562936385258266625/MwfjhiWX_normal.jpg")</f>
        <v>https://pbs.twimg.com/profile_images/1562936385258266625/MwfjhiWX_normal.jpg</v>
      </c>
      <c r="AW197" s="74" t="s">
        <v>1142</v>
      </c>
      <c r="AX197" s="74" t="s">
        <v>1300</v>
      </c>
      <c r="AY197" s="74" t="s">
        <v>1373</v>
      </c>
      <c r="AZ197" s="74" t="s">
        <v>1395</v>
      </c>
      <c r="BA197" s="74" t="s">
        <v>1384</v>
      </c>
      <c r="BB197" s="74" t="s">
        <v>1384</v>
      </c>
      <c r="BC197" s="74" t="s">
        <v>1395</v>
      </c>
      <c r="BD197" s="74" t="s">
        <v>1449</v>
      </c>
      <c r="BJ197" s="44"/>
      <c r="BK197" s="45"/>
      <c r="BL197" s="44"/>
      <c r="BM197" s="45"/>
      <c r="BN197" s="44"/>
      <c r="BO197" s="45"/>
      <c r="BP197" s="44"/>
      <c r="BQ197" s="45"/>
      <c r="BR197" s="44"/>
      <c r="BS197">
        <v>1</v>
      </c>
      <c r="BT197" s="112" t="str">
        <f>REPLACE(INDEX(GroupVertices[Group],MATCH("~"&amp;Edges[[#This Row],[Vertex 1]],GroupVertices[Vertex],0)),1,1,"")</f>
        <v>1</v>
      </c>
      <c r="BU197" s="112" t="str">
        <f>REPLACE(INDEX(GroupVertices[Group],MATCH("~"&amp;Edges[[#This Row],[Vertex 2]],GroupVertices[Vertex],0)),1,1,"")</f>
        <v>1</v>
      </c>
    </row>
    <row r="198" spans="1:73" ht="15">
      <c r="A198" s="59" t="s">
        <v>290</v>
      </c>
      <c r="B198" s="59" t="s">
        <v>451</v>
      </c>
      <c r="C198" s="60"/>
      <c r="D198" s="61"/>
      <c r="E198" s="62"/>
      <c r="F198" s="63"/>
      <c r="G198" s="60"/>
      <c r="H198" s="64"/>
      <c r="I198" s="65"/>
      <c r="J198" s="65"/>
      <c r="K198" s="30" t="s">
        <v>65</v>
      </c>
      <c r="L198" s="72">
        <v>198</v>
      </c>
      <c r="M1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8" s="67"/>
      <c r="O198" t="s">
        <v>483</v>
      </c>
      <c r="P198" s="73">
        <v>44911.466840277775</v>
      </c>
      <c r="Q198" t="s">
        <v>607</v>
      </c>
      <c r="R198">
        <v>12</v>
      </c>
      <c r="S198">
        <v>17</v>
      </c>
      <c r="T198">
        <v>1</v>
      </c>
      <c r="U198">
        <v>0</v>
      </c>
      <c r="V198">
        <v>134</v>
      </c>
      <c r="W198" s="74" t="s">
        <v>696</v>
      </c>
      <c r="Z198" t="s">
        <v>757</v>
      </c>
      <c r="AC198" s="74" t="s">
        <v>789</v>
      </c>
      <c r="AD198" t="s">
        <v>794</v>
      </c>
      <c r="AE198" s="75" t="str">
        <f>HYPERLINK("https://twitter.com/s_cintanirmala/status/1603709587341074433")</f>
        <v>https://twitter.com/s_cintanirmala/status/1603709587341074433</v>
      </c>
      <c r="AF198" s="73">
        <v>44911.466840277775</v>
      </c>
      <c r="AG198" s="77">
        <v>44911</v>
      </c>
      <c r="AH198" s="74" t="s">
        <v>921</v>
      </c>
      <c r="AV198" s="75" t="str">
        <f>HYPERLINK("https://pbs.twimg.com/profile_images/1562936385258266625/MwfjhiWX_normal.jpg")</f>
        <v>https://pbs.twimg.com/profile_images/1562936385258266625/MwfjhiWX_normal.jpg</v>
      </c>
      <c r="AW198" s="74" t="s">
        <v>1142</v>
      </c>
      <c r="AX198" s="74" t="s">
        <v>1300</v>
      </c>
      <c r="AY198" s="74" t="s">
        <v>1373</v>
      </c>
      <c r="AZ198" s="74" t="s">
        <v>1395</v>
      </c>
      <c r="BA198" s="74" t="s">
        <v>1384</v>
      </c>
      <c r="BB198" s="74" t="s">
        <v>1384</v>
      </c>
      <c r="BC198" s="74" t="s">
        <v>1395</v>
      </c>
      <c r="BD198" s="74" t="s">
        <v>1449</v>
      </c>
      <c r="BJ198" s="44"/>
      <c r="BK198" s="45"/>
      <c r="BL198" s="44"/>
      <c r="BM198" s="45"/>
      <c r="BN198" s="44"/>
      <c r="BO198" s="45"/>
      <c r="BP198" s="44"/>
      <c r="BQ198" s="45"/>
      <c r="BR198" s="44"/>
      <c r="BS198">
        <v>1</v>
      </c>
      <c r="BT198" s="112" t="str">
        <f>REPLACE(INDEX(GroupVertices[Group],MATCH("~"&amp;Edges[[#This Row],[Vertex 1]],GroupVertices[Vertex],0)),1,1,"")</f>
        <v>1</v>
      </c>
      <c r="BU198" s="112" t="str">
        <f>REPLACE(INDEX(GroupVertices[Group],MATCH("~"&amp;Edges[[#This Row],[Vertex 2]],GroupVertices[Vertex],0)),1,1,"")</f>
        <v>1</v>
      </c>
    </row>
    <row r="199" spans="1:73" ht="15">
      <c r="A199" s="59" t="s">
        <v>290</v>
      </c>
      <c r="B199" s="59" t="s">
        <v>452</v>
      </c>
      <c r="C199" s="60"/>
      <c r="D199" s="61"/>
      <c r="E199" s="62"/>
      <c r="F199" s="63"/>
      <c r="G199" s="60"/>
      <c r="H199" s="64"/>
      <c r="I199" s="65"/>
      <c r="J199" s="65"/>
      <c r="K199" s="30" t="s">
        <v>65</v>
      </c>
      <c r="L199" s="72">
        <v>199</v>
      </c>
      <c r="M1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9" s="67"/>
      <c r="O199" t="s">
        <v>483</v>
      </c>
      <c r="P199" s="73">
        <v>44911.466840277775</v>
      </c>
      <c r="Q199" t="s">
        <v>607</v>
      </c>
      <c r="R199">
        <v>12</v>
      </c>
      <c r="S199">
        <v>17</v>
      </c>
      <c r="T199">
        <v>1</v>
      </c>
      <c r="U199">
        <v>0</v>
      </c>
      <c r="V199">
        <v>134</v>
      </c>
      <c r="W199" s="74" t="s">
        <v>696</v>
      </c>
      <c r="Z199" t="s">
        <v>757</v>
      </c>
      <c r="AC199" s="74" t="s">
        <v>789</v>
      </c>
      <c r="AD199" t="s">
        <v>794</v>
      </c>
      <c r="AE199" s="75" t="str">
        <f>HYPERLINK("https://twitter.com/s_cintanirmala/status/1603709587341074433")</f>
        <v>https://twitter.com/s_cintanirmala/status/1603709587341074433</v>
      </c>
      <c r="AF199" s="73">
        <v>44911.466840277775</v>
      </c>
      <c r="AG199" s="77">
        <v>44911</v>
      </c>
      <c r="AH199" s="74" t="s">
        <v>921</v>
      </c>
      <c r="AV199" s="75" t="str">
        <f>HYPERLINK("https://pbs.twimg.com/profile_images/1562936385258266625/MwfjhiWX_normal.jpg")</f>
        <v>https://pbs.twimg.com/profile_images/1562936385258266625/MwfjhiWX_normal.jpg</v>
      </c>
      <c r="AW199" s="74" t="s">
        <v>1142</v>
      </c>
      <c r="AX199" s="74" t="s">
        <v>1300</v>
      </c>
      <c r="AY199" s="74" t="s">
        <v>1373</v>
      </c>
      <c r="AZ199" s="74" t="s">
        <v>1395</v>
      </c>
      <c r="BA199" s="74" t="s">
        <v>1384</v>
      </c>
      <c r="BB199" s="74" t="s">
        <v>1384</v>
      </c>
      <c r="BC199" s="74" t="s">
        <v>1395</v>
      </c>
      <c r="BD199" s="74" t="s">
        <v>1449</v>
      </c>
      <c r="BJ199" s="44"/>
      <c r="BK199" s="45"/>
      <c r="BL199" s="44"/>
      <c r="BM199" s="45"/>
      <c r="BN199" s="44"/>
      <c r="BO199" s="45"/>
      <c r="BP199" s="44"/>
      <c r="BQ199" s="45"/>
      <c r="BR199" s="44"/>
      <c r="BS199">
        <v>1</v>
      </c>
      <c r="BT199" s="112" t="str">
        <f>REPLACE(INDEX(GroupVertices[Group],MATCH("~"&amp;Edges[[#This Row],[Vertex 1]],GroupVertices[Vertex],0)),1,1,"")</f>
        <v>1</v>
      </c>
      <c r="BU199" s="112" t="str">
        <f>REPLACE(INDEX(GroupVertices[Group],MATCH("~"&amp;Edges[[#This Row],[Vertex 2]],GroupVertices[Vertex],0)),1,1,"")</f>
        <v>1</v>
      </c>
    </row>
    <row r="200" spans="1:73" ht="15">
      <c r="A200" s="59" t="s">
        <v>290</v>
      </c>
      <c r="B200" s="59" t="s">
        <v>453</v>
      </c>
      <c r="C200" s="60"/>
      <c r="D200" s="61"/>
      <c r="E200" s="62"/>
      <c r="F200" s="63"/>
      <c r="G200" s="60"/>
      <c r="H200" s="64"/>
      <c r="I200" s="65"/>
      <c r="J200" s="65"/>
      <c r="K200" s="30" t="s">
        <v>65</v>
      </c>
      <c r="L200" s="72">
        <v>200</v>
      </c>
      <c r="M2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0" s="67"/>
      <c r="O200" t="s">
        <v>483</v>
      </c>
      <c r="P200" s="73">
        <v>44911.466840277775</v>
      </c>
      <c r="Q200" t="s">
        <v>607</v>
      </c>
      <c r="R200">
        <v>12</v>
      </c>
      <c r="S200">
        <v>17</v>
      </c>
      <c r="T200">
        <v>1</v>
      </c>
      <c r="U200">
        <v>0</v>
      </c>
      <c r="V200">
        <v>134</v>
      </c>
      <c r="W200" s="74" t="s">
        <v>696</v>
      </c>
      <c r="Z200" t="s">
        <v>757</v>
      </c>
      <c r="AC200" s="74" t="s">
        <v>789</v>
      </c>
      <c r="AD200" t="s">
        <v>794</v>
      </c>
      <c r="AE200" s="75" t="str">
        <f>HYPERLINK("https://twitter.com/s_cintanirmala/status/1603709587341074433")</f>
        <v>https://twitter.com/s_cintanirmala/status/1603709587341074433</v>
      </c>
      <c r="AF200" s="73">
        <v>44911.466840277775</v>
      </c>
      <c r="AG200" s="77">
        <v>44911</v>
      </c>
      <c r="AH200" s="74" t="s">
        <v>921</v>
      </c>
      <c r="AV200" s="75" t="str">
        <f>HYPERLINK("https://pbs.twimg.com/profile_images/1562936385258266625/MwfjhiWX_normal.jpg")</f>
        <v>https://pbs.twimg.com/profile_images/1562936385258266625/MwfjhiWX_normal.jpg</v>
      </c>
      <c r="AW200" s="74" t="s">
        <v>1142</v>
      </c>
      <c r="AX200" s="74" t="s">
        <v>1300</v>
      </c>
      <c r="AY200" s="74" t="s">
        <v>1373</v>
      </c>
      <c r="AZ200" s="74" t="s">
        <v>1395</v>
      </c>
      <c r="BA200" s="74" t="s">
        <v>1384</v>
      </c>
      <c r="BB200" s="74" t="s">
        <v>1384</v>
      </c>
      <c r="BC200" s="74" t="s">
        <v>1395</v>
      </c>
      <c r="BD200" s="74" t="s">
        <v>1449</v>
      </c>
      <c r="BJ200" s="44"/>
      <c r="BK200" s="45"/>
      <c r="BL200" s="44"/>
      <c r="BM200" s="45"/>
      <c r="BN200" s="44"/>
      <c r="BO200" s="45"/>
      <c r="BP200" s="44"/>
      <c r="BQ200" s="45"/>
      <c r="BR200" s="44"/>
      <c r="BS200">
        <v>1</v>
      </c>
      <c r="BT200" s="112" t="str">
        <f>REPLACE(INDEX(GroupVertices[Group],MATCH("~"&amp;Edges[[#This Row],[Vertex 1]],GroupVertices[Vertex],0)),1,1,"")</f>
        <v>1</v>
      </c>
      <c r="BU200" s="112" t="str">
        <f>REPLACE(INDEX(GroupVertices[Group],MATCH("~"&amp;Edges[[#This Row],[Vertex 2]],GroupVertices[Vertex],0)),1,1,"")</f>
        <v>1</v>
      </c>
    </row>
    <row r="201" spans="1:73" ht="15">
      <c r="A201" s="59" t="s">
        <v>290</v>
      </c>
      <c r="B201" s="59" t="s">
        <v>454</v>
      </c>
      <c r="C201" s="60"/>
      <c r="D201" s="61"/>
      <c r="E201" s="62"/>
      <c r="F201" s="63"/>
      <c r="G201" s="60"/>
      <c r="H201" s="64"/>
      <c r="I201" s="65"/>
      <c r="J201" s="65"/>
      <c r="K201" s="30" t="s">
        <v>65</v>
      </c>
      <c r="L201" s="72">
        <v>201</v>
      </c>
      <c r="M2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1" s="67"/>
      <c r="O201" t="s">
        <v>483</v>
      </c>
      <c r="P201" s="73">
        <v>44911.466840277775</v>
      </c>
      <c r="Q201" t="s">
        <v>607</v>
      </c>
      <c r="R201">
        <v>12</v>
      </c>
      <c r="S201">
        <v>17</v>
      </c>
      <c r="T201">
        <v>1</v>
      </c>
      <c r="U201">
        <v>0</v>
      </c>
      <c r="V201">
        <v>134</v>
      </c>
      <c r="W201" s="74" t="s">
        <v>696</v>
      </c>
      <c r="Z201" t="s">
        <v>757</v>
      </c>
      <c r="AC201" s="74" t="s">
        <v>789</v>
      </c>
      <c r="AD201" t="s">
        <v>794</v>
      </c>
      <c r="AE201" s="75" t="str">
        <f>HYPERLINK("https://twitter.com/s_cintanirmala/status/1603709587341074433")</f>
        <v>https://twitter.com/s_cintanirmala/status/1603709587341074433</v>
      </c>
      <c r="AF201" s="73">
        <v>44911.466840277775</v>
      </c>
      <c r="AG201" s="77">
        <v>44911</v>
      </c>
      <c r="AH201" s="74" t="s">
        <v>921</v>
      </c>
      <c r="AV201" s="75" t="str">
        <f>HYPERLINK("https://pbs.twimg.com/profile_images/1562936385258266625/MwfjhiWX_normal.jpg")</f>
        <v>https://pbs.twimg.com/profile_images/1562936385258266625/MwfjhiWX_normal.jpg</v>
      </c>
      <c r="AW201" s="74" t="s">
        <v>1142</v>
      </c>
      <c r="AX201" s="74" t="s">
        <v>1300</v>
      </c>
      <c r="AY201" s="74" t="s">
        <v>1373</v>
      </c>
      <c r="AZ201" s="74" t="s">
        <v>1395</v>
      </c>
      <c r="BA201" s="74" t="s">
        <v>1384</v>
      </c>
      <c r="BB201" s="74" t="s">
        <v>1384</v>
      </c>
      <c r="BC201" s="74" t="s">
        <v>1395</v>
      </c>
      <c r="BD201" s="74" t="s">
        <v>1449</v>
      </c>
      <c r="BJ201" s="44"/>
      <c r="BK201" s="45"/>
      <c r="BL201" s="44"/>
      <c r="BM201" s="45"/>
      <c r="BN201" s="44"/>
      <c r="BO201" s="45"/>
      <c r="BP201" s="44"/>
      <c r="BQ201" s="45"/>
      <c r="BR201" s="44"/>
      <c r="BS201">
        <v>1</v>
      </c>
      <c r="BT201" s="112" t="str">
        <f>REPLACE(INDEX(GroupVertices[Group],MATCH("~"&amp;Edges[[#This Row],[Vertex 1]],GroupVertices[Vertex],0)),1,1,"")</f>
        <v>1</v>
      </c>
      <c r="BU201" s="112" t="str">
        <f>REPLACE(INDEX(GroupVertices[Group],MATCH("~"&amp;Edges[[#This Row],[Vertex 2]],GroupVertices[Vertex],0)),1,1,"")</f>
        <v>1</v>
      </c>
    </row>
    <row r="202" spans="1:73" ht="15">
      <c r="A202" s="59" t="s">
        <v>290</v>
      </c>
      <c r="B202" s="59" t="s">
        <v>455</v>
      </c>
      <c r="C202" s="60"/>
      <c r="D202" s="61"/>
      <c r="E202" s="62"/>
      <c r="F202" s="63"/>
      <c r="G202" s="60"/>
      <c r="H202" s="64"/>
      <c r="I202" s="65"/>
      <c r="J202" s="65"/>
      <c r="K202" s="30" t="s">
        <v>65</v>
      </c>
      <c r="L202" s="72">
        <v>202</v>
      </c>
      <c r="M2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2" s="67"/>
      <c r="O202" t="s">
        <v>483</v>
      </c>
      <c r="P202" s="73">
        <v>44972.248773148145</v>
      </c>
      <c r="Q202" t="s">
        <v>608</v>
      </c>
      <c r="R202">
        <v>0</v>
      </c>
      <c r="S202">
        <v>1</v>
      </c>
      <c r="T202">
        <v>1</v>
      </c>
      <c r="U202">
        <v>0</v>
      </c>
      <c r="V202">
        <v>24</v>
      </c>
      <c r="W202" s="74" t="s">
        <v>697</v>
      </c>
      <c r="Z202" t="s">
        <v>758</v>
      </c>
      <c r="AC202" s="74" t="s">
        <v>789</v>
      </c>
      <c r="AD202" t="s">
        <v>794</v>
      </c>
      <c r="AE202" s="75" t="str">
        <f>HYPERLINK("https://twitter.com/s_cintanirmala/status/1625736222651088897")</f>
        <v>https://twitter.com/s_cintanirmala/status/1625736222651088897</v>
      </c>
      <c r="AF202" s="73">
        <v>44972.248773148145</v>
      </c>
      <c r="AG202" s="77">
        <v>44972</v>
      </c>
      <c r="AH202" s="74" t="s">
        <v>922</v>
      </c>
      <c r="AV202" s="75" t="str">
        <f>HYPERLINK("https://pbs.twimg.com/profile_images/1562936385258266625/MwfjhiWX_normal.jpg")</f>
        <v>https://pbs.twimg.com/profile_images/1562936385258266625/MwfjhiWX_normal.jpg</v>
      </c>
      <c r="AW202" s="74" t="s">
        <v>1143</v>
      </c>
      <c r="AX202" s="74" t="s">
        <v>1301</v>
      </c>
      <c r="AY202" s="74" t="s">
        <v>1374</v>
      </c>
      <c r="AZ202" s="74" t="s">
        <v>1396</v>
      </c>
      <c r="BA202" s="74" t="s">
        <v>1384</v>
      </c>
      <c r="BB202" s="74" t="s">
        <v>1384</v>
      </c>
      <c r="BC202" s="74" t="s">
        <v>1396</v>
      </c>
      <c r="BD202" s="74" t="s">
        <v>1449</v>
      </c>
      <c r="BJ202" s="44"/>
      <c r="BK202" s="45"/>
      <c r="BL202" s="44"/>
      <c r="BM202" s="45"/>
      <c r="BN202" s="44"/>
      <c r="BO202" s="45"/>
      <c r="BP202" s="44"/>
      <c r="BQ202" s="45"/>
      <c r="BR202" s="44"/>
      <c r="BS202">
        <v>1</v>
      </c>
      <c r="BT202" s="112" t="str">
        <f>REPLACE(INDEX(GroupVertices[Group],MATCH("~"&amp;Edges[[#This Row],[Vertex 1]],GroupVertices[Vertex],0)),1,1,"")</f>
        <v>1</v>
      </c>
      <c r="BU202" s="112" t="str">
        <f>REPLACE(INDEX(GroupVertices[Group],MATCH("~"&amp;Edges[[#This Row],[Vertex 2]],GroupVertices[Vertex],0)),1,1,"")</f>
        <v>1</v>
      </c>
    </row>
    <row r="203" spans="1:73" ht="15">
      <c r="A203" s="59" t="s">
        <v>290</v>
      </c>
      <c r="B203" s="59" t="s">
        <v>456</v>
      </c>
      <c r="C203" s="60"/>
      <c r="D203" s="61"/>
      <c r="E203" s="62"/>
      <c r="F203" s="63"/>
      <c r="G203" s="60"/>
      <c r="H203" s="64"/>
      <c r="I203" s="65"/>
      <c r="J203" s="65"/>
      <c r="K203" s="30" t="s">
        <v>65</v>
      </c>
      <c r="L203" s="72">
        <v>203</v>
      </c>
      <c r="M2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3" s="67"/>
      <c r="O203" t="s">
        <v>483</v>
      </c>
      <c r="P203" s="73">
        <v>44911.466840277775</v>
      </c>
      <c r="Q203" t="s">
        <v>607</v>
      </c>
      <c r="R203">
        <v>12</v>
      </c>
      <c r="S203">
        <v>17</v>
      </c>
      <c r="T203">
        <v>1</v>
      </c>
      <c r="U203">
        <v>0</v>
      </c>
      <c r="V203">
        <v>134</v>
      </c>
      <c r="W203" s="74" t="s">
        <v>696</v>
      </c>
      <c r="Z203" t="s">
        <v>757</v>
      </c>
      <c r="AC203" s="74" t="s">
        <v>789</v>
      </c>
      <c r="AD203" t="s">
        <v>794</v>
      </c>
      <c r="AE203" s="75" t="str">
        <f>HYPERLINK("https://twitter.com/s_cintanirmala/status/1603709587341074433")</f>
        <v>https://twitter.com/s_cintanirmala/status/1603709587341074433</v>
      </c>
      <c r="AF203" s="73">
        <v>44911.466840277775</v>
      </c>
      <c r="AG203" s="77">
        <v>44911</v>
      </c>
      <c r="AH203" s="74" t="s">
        <v>921</v>
      </c>
      <c r="AV203" s="75" t="str">
        <f>HYPERLINK("https://pbs.twimg.com/profile_images/1562936385258266625/MwfjhiWX_normal.jpg")</f>
        <v>https://pbs.twimg.com/profile_images/1562936385258266625/MwfjhiWX_normal.jpg</v>
      </c>
      <c r="AW203" s="74" t="s">
        <v>1142</v>
      </c>
      <c r="AX203" s="74" t="s">
        <v>1300</v>
      </c>
      <c r="AY203" s="74" t="s">
        <v>1373</v>
      </c>
      <c r="AZ203" s="74" t="s">
        <v>1395</v>
      </c>
      <c r="BA203" s="74" t="s">
        <v>1384</v>
      </c>
      <c r="BB203" s="74" t="s">
        <v>1384</v>
      </c>
      <c r="BC203" s="74" t="s">
        <v>1395</v>
      </c>
      <c r="BD203" s="74" t="s">
        <v>1449</v>
      </c>
      <c r="BJ203" s="44">
        <v>4</v>
      </c>
      <c r="BK203" s="45">
        <v>6.153846153846154</v>
      </c>
      <c r="BL203" s="44">
        <v>1</v>
      </c>
      <c r="BM203" s="45">
        <v>1.5384615384615385</v>
      </c>
      <c r="BN203" s="44">
        <v>0</v>
      </c>
      <c r="BO203" s="45">
        <v>0</v>
      </c>
      <c r="BP203" s="44">
        <v>60</v>
      </c>
      <c r="BQ203" s="45">
        <v>92.3076923076923</v>
      </c>
      <c r="BR203" s="44">
        <v>65</v>
      </c>
      <c r="BS203">
        <v>8</v>
      </c>
      <c r="BT203" s="112" t="str">
        <f>REPLACE(INDEX(GroupVertices[Group],MATCH("~"&amp;Edges[[#This Row],[Vertex 1]],GroupVertices[Vertex],0)),1,1,"")</f>
        <v>1</v>
      </c>
      <c r="BU203" s="112" t="str">
        <f>REPLACE(INDEX(GroupVertices[Group],MATCH("~"&amp;Edges[[#This Row],[Vertex 2]],GroupVertices[Vertex],0)),1,1,"")</f>
        <v>1</v>
      </c>
    </row>
    <row r="204" spans="1:73" ht="15">
      <c r="A204" s="59" t="s">
        <v>290</v>
      </c>
      <c r="B204" s="59" t="s">
        <v>457</v>
      </c>
      <c r="C204" s="60"/>
      <c r="D204" s="61"/>
      <c r="E204" s="62"/>
      <c r="F204" s="63"/>
      <c r="G204" s="60"/>
      <c r="H204" s="64"/>
      <c r="I204" s="65"/>
      <c r="J204" s="65"/>
      <c r="K204" s="30" t="s">
        <v>65</v>
      </c>
      <c r="L204" s="72">
        <v>204</v>
      </c>
      <c r="M2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4" s="67"/>
      <c r="O204" t="s">
        <v>483</v>
      </c>
      <c r="P204" s="73">
        <v>44972.248773148145</v>
      </c>
      <c r="Q204" t="s">
        <v>608</v>
      </c>
      <c r="R204">
        <v>0</v>
      </c>
      <c r="S204">
        <v>1</v>
      </c>
      <c r="T204">
        <v>1</v>
      </c>
      <c r="U204">
        <v>0</v>
      </c>
      <c r="V204">
        <v>24</v>
      </c>
      <c r="W204" s="74" t="s">
        <v>697</v>
      </c>
      <c r="Z204" t="s">
        <v>758</v>
      </c>
      <c r="AC204" s="74" t="s">
        <v>789</v>
      </c>
      <c r="AD204" t="s">
        <v>794</v>
      </c>
      <c r="AE204" s="75" t="str">
        <f>HYPERLINK("https://twitter.com/s_cintanirmala/status/1625736222651088897")</f>
        <v>https://twitter.com/s_cintanirmala/status/1625736222651088897</v>
      </c>
      <c r="AF204" s="73">
        <v>44972.248773148145</v>
      </c>
      <c r="AG204" s="77">
        <v>44972</v>
      </c>
      <c r="AH204" s="74" t="s">
        <v>922</v>
      </c>
      <c r="AV204" s="75" t="str">
        <f>HYPERLINK("https://pbs.twimg.com/profile_images/1562936385258266625/MwfjhiWX_normal.jpg")</f>
        <v>https://pbs.twimg.com/profile_images/1562936385258266625/MwfjhiWX_normal.jpg</v>
      </c>
      <c r="AW204" s="74" t="s">
        <v>1143</v>
      </c>
      <c r="AX204" s="74" t="s">
        <v>1301</v>
      </c>
      <c r="AY204" s="74" t="s">
        <v>1374</v>
      </c>
      <c r="AZ204" s="74" t="s">
        <v>1396</v>
      </c>
      <c r="BA204" s="74" t="s">
        <v>1384</v>
      </c>
      <c r="BB204" s="74" t="s">
        <v>1384</v>
      </c>
      <c r="BC204" s="74" t="s">
        <v>1396</v>
      </c>
      <c r="BD204" s="74" t="s">
        <v>1449</v>
      </c>
      <c r="BJ204" s="44"/>
      <c r="BK204" s="45"/>
      <c r="BL204" s="44"/>
      <c r="BM204" s="45"/>
      <c r="BN204" s="44"/>
      <c r="BO204" s="45"/>
      <c r="BP204" s="44"/>
      <c r="BQ204" s="45"/>
      <c r="BR204" s="44"/>
      <c r="BS204">
        <v>1</v>
      </c>
      <c r="BT204" s="112" t="str">
        <f>REPLACE(INDEX(GroupVertices[Group],MATCH("~"&amp;Edges[[#This Row],[Vertex 1]],GroupVertices[Vertex],0)),1,1,"")</f>
        <v>1</v>
      </c>
      <c r="BU204" s="112" t="str">
        <f>REPLACE(INDEX(GroupVertices[Group],MATCH("~"&amp;Edges[[#This Row],[Vertex 2]],GroupVertices[Vertex],0)),1,1,"")</f>
        <v>1</v>
      </c>
    </row>
    <row r="205" spans="1:73" ht="15">
      <c r="A205" s="59" t="s">
        <v>290</v>
      </c>
      <c r="B205" s="59" t="s">
        <v>458</v>
      </c>
      <c r="C205" s="60"/>
      <c r="D205" s="61"/>
      <c r="E205" s="62"/>
      <c r="F205" s="63"/>
      <c r="G205" s="60"/>
      <c r="H205" s="64"/>
      <c r="I205" s="65"/>
      <c r="J205" s="65"/>
      <c r="K205" s="30" t="s">
        <v>65</v>
      </c>
      <c r="L205" s="72">
        <v>205</v>
      </c>
      <c r="M2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5" s="67"/>
      <c r="O205" t="s">
        <v>483</v>
      </c>
      <c r="P205" s="73">
        <v>44972.248773148145</v>
      </c>
      <c r="Q205" t="s">
        <v>608</v>
      </c>
      <c r="R205">
        <v>0</v>
      </c>
      <c r="S205">
        <v>1</v>
      </c>
      <c r="T205">
        <v>1</v>
      </c>
      <c r="U205">
        <v>0</v>
      </c>
      <c r="V205">
        <v>24</v>
      </c>
      <c r="W205" s="74" t="s">
        <v>697</v>
      </c>
      <c r="Z205" t="s">
        <v>758</v>
      </c>
      <c r="AC205" s="74" t="s">
        <v>789</v>
      </c>
      <c r="AD205" t="s">
        <v>794</v>
      </c>
      <c r="AE205" s="75" t="str">
        <f>HYPERLINK("https://twitter.com/s_cintanirmala/status/1625736222651088897")</f>
        <v>https://twitter.com/s_cintanirmala/status/1625736222651088897</v>
      </c>
      <c r="AF205" s="73">
        <v>44972.248773148145</v>
      </c>
      <c r="AG205" s="77">
        <v>44972</v>
      </c>
      <c r="AH205" s="74" t="s">
        <v>922</v>
      </c>
      <c r="AV205" s="75" t="str">
        <f>HYPERLINK("https://pbs.twimg.com/profile_images/1562936385258266625/MwfjhiWX_normal.jpg")</f>
        <v>https://pbs.twimg.com/profile_images/1562936385258266625/MwfjhiWX_normal.jpg</v>
      </c>
      <c r="AW205" s="74" t="s">
        <v>1143</v>
      </c>
      <c r="AX205" s="74" t="s">
        <v>1301</v>
      </c>
      <c r="AY205" s="74" t="s">
        <v>1374</v>
      </c>
      <c r="AZ205" s="74" t="s">
        <v>1396</v>
      </c>
      <c r="BA205" s="74" t="s">
        <v>1384</v>
      </c>
      <c r="BB205" s="74" t="s">
        <v>1384</v>
      </c>
      <c r="BC205" s="74" t="s">
        <v>1396</v>
      </c>
      <c r="BD205" s="74" t="s">
        <v>1449</v>
      </c>
      <c r="BJ205" s="44"/>
      <c r="BK205" s="45"/>
      <c r="BL205" s="44"/>
      <c r="BM205" s="45"/>
      <c r="BN205" s="44"/>
      <c r="BO205" s="45"/>
      <c r="BP205" s="44"/>
      <c r="BQ205" s="45"/>
      <c r="BR205" s="44"/>
      <c r="BS205">
        <v>1</v>
      </c>
      <c r="BT205" s="112" t="str">
        <f>REPLACE(INDEX(GroupVertices[Group],MATCH("~"&amp;Edges[[#This Row],[Vertex 1]],GroupVertices[Vertex],0)),1,1,"")</f>
        <v>1</v>
      </c>
      <c r="BU205" s="112" t="str">
        <f>REPLACE(INDEX(GroupVertices[Group],MATCH("~"&amp;Edges[[#This Row],[Vertex 2]],GroupVertices[Vertex],0)),1,1,"")</f>
        <v>1</v>
      </c>
    </row>
    <row r="206" spans="1:73" ht="15">
      <c r="A206" s="59" t="s">
        <v>290</v>
      </c>
      <c r="B206" s="59" t="s">
        <v>459</v>
      </c>
      <c r="C206" s="60"/>
      <c r="D206" s="61"/>
      <c r="E206" s="62"/>
      <c r="F206" s="63"/>
      <c r="G206" s="60"/>
      <c r="H206" s="64"/>
      <c r="I206" s="65"/>
      <c r="J206" s="65"/>
      <c r="K206" s="30" t="s">
        <v>65</v>
      </c>
      <c r="L206" s="72">
        <v>206</v>
      </c>
      <c r="M2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6" s="67"/>
      <c r="O206" t="s">
        <v>483</v>
      </c>
      <c r="P206" s="73">
        <v>44972.248773148145</v>
      </c>
      <c r="Q206" t="s">
        <v>608</v>
      </c>
      <c r="R206">
        <v>0</v>
      </c>
      <c r="S206">
        <v>1</v>
      </c>
      <c r="T206">
        <v>1</v>
      </c>
      <c r="U206">
        <v>0</v>
      </c>
      <c r="V206">
        <v>24</v>
      </c>
      <c r="W206" s="74" t="s">
        <v>697</v>
      </c>
      <c r="Z206" t="s">
        <v>758</v>
      </c>
      <c r="AC206" s="74" t="s">
        <v>789</v>
      </c>
      <c r="AD206" t="s">
        <v>794</v>
      </c>
      <c r="AE206" s="75" t="str">
        <f>HYPERLINK("https://twitter.com/s_cintanirmala/status/1625736222651088897")</f>
        <v>https://twitter.com/s_cintanirmala/status/1625736222651088897</v>
      </c>
      <c r="AF206" s="73">
        <v>44972.248773148145</v>
      </c>
      <c r="AG206" s="77">
        <v>44972</v>
      </c>
      <c r="AH206" s="74" t="s">
        <v>922</v>
      </c>
      <c r="AV206" s="75" t="str">
        <f>HYPERLINK("https://pbs.twimg.com/profile_images/1562936385258266625/MwfjhiWX_normal.jpg")</f>
        <v>https://pbs.twimg.com/profile_images/1562936385258266625/MwfjhiWX_normal.jpg</v>
      </c>
      <c r="AW206" s="74" t="s">
        <v>1143</v>
      </c>
      <c r="AX206" s="74" t="s">
        <v>1301</v>
      </c>
      <c r="AY206" s="74" t="s">
        <v>1374</v>
      </c>
      <c r="AZ206" s="74" t="s">
        <v>1396</v>
      </c>
      <c r="BA206" s="74" t="s">
        <v>1384</v>
      </c>
      <c r="BB206" s="74" t="s">
        <v>1384</v>
      </c>
      <c r="BC206" s="74" t="s">
        <v>1396</v>
      </c>
      <c r="BD206" s="74" t="s">
        <v>1449</v>
      </c>
      <c r="BJ206" s="44"/>
      <c r="BK206" s="45"/>
      <c r="BL206" s="44"/>
      <c r="BM206" s="45"/>
      <c r="BN206" s="44"/>
      <c r="BO206" s="45"/>
      <c r="BP206" s="44"/>
      <c r="BQ206" s="45"/>
      <c r="BR206" s="44"/>
      <c r="BS206">
        <v>1</v>
      </c>
      <c r="BT206" s="112" t="str">
        <f>REPLACE(INDEX(GroupVertices[Group],MATCH("~"&amp;Edges[[#This Row],[Vertex 1]],GroupVertices[Vertex],0)),1,1,"")</f>
        <v>1</v>
      </c>
      <c r="BU206" s="112" t="str">
        <f>REPLACE(INDEX(GroupVertices[Group],MATCH("~"&amp;Edges[[#This Row],[Vertex 2]],GroupVertices[Vertex],0)),1,1,"")</f>
        <v>1</v>
      </c>
    </row>
    <row r="207" spans="1:73" ht="15">
      <c r="A207" s="59" t="s">
        <v>290</v>
      </c>
      <c r="B207" s="59" t="s">
        <v>460</v>
      </c>
      <c r="C207" s="60"/>
      <c r="D207" s="61"/>
      <c r="E207" s="62"/>
      <c r="F207" s="63"/>
      <c r="G207" s="60"/>
      <c r="H207" s="64"/>
      <c r="I207" s="65"/>
      <c r="J207" s="65"/>
      <c r="K207" s="30" t="s">
        <v>65</v>
      </c>
      <c r="L207" s="72">
        <v>207</v>
      </c>
      <c r="M2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7" s="67"/>
      <c r="O207" t="s">
        <v>483</v>
      </c>
      <c r="P207" s="73">
        <v>44972.248773148145</v>
      </c>
      <c r="Q207" t="s">
        <v>608</v>
      </c>
      <c r="R207">
        <v>0</v>
      </c>
      <c r="S207">
        <v>1</v>
      </c>
      <c r="T207">
        <v>1</v>
      </c>
      <c r="U207">
        <v>0</v>
      </c>
      <c r="V207">
        <v>24</v>
      </c>
      <c r="W207" s="74" t="s">
        <v>697</v>
      </c>
      <c r="Z207" t="s">
        <v>758</v>
      </c>
      <c r="AC207" s="74" t="s">
        <v>789</v>
      </c>
      <c r="AD207" t="s">
        <v>794</v>
      </c>
      <c r="AE207" s="75" t="str">
        <f>HYPERLINK("https://twitter.com/s_cintanirmala/status/1625736222651088897")</f>
        <v>https://twitter.com/s_cintanirmala/status/1625736222651088897</v>
      </c>
      <c r="AF207" s="73">
        <v>44972.248773148145</v>
      </c>
      <c r="AG207" s="77">
        <v>44972</v>
      </c>
      <c r="AH207" s="74" t="s">
        <v>922</v>
      </c>
      <c r="AV207" s="75" t="str">
        <f>HYPERLINK("https://pbs.twimg.com/profile_images/1562936385258266625/MwfjhiWX_normal.jpg")</f>
        <v>https://pbs.twimg.com/profile_images/1562936385258266625/MwfjhiWX_normal.jpg</v>
      </c>
      <c r="AW207" s="74" t="s">
        <v>1143</v>
      </c>
      <c r="AX207" s="74" t="s">
        <v>1301</v>
      </c>
      <c r="AY207" s="74" t="s">
        <v>1374</v>
      </c>
      <c r="AZ207" s="74" t="s">
        <v>1396</v>
      </c>
      <c r="BA207" s="74" t="s">
        <v>1384</v>
      </c>
      <c r="BB207" s="74" t="s">
        <v>1384</v>
      </c>
      <c r="BC207" s="74" t="s">
        <v>1396</v>
      </c>
      <c r="BD207" s="74" t="s">
        <v>1449</v>
      </c>
      <c r="BJ207" s="44"/>
      <c r="BK207" s="45"/>
      <c r="BL207" s="44"/>
      <c r="BM207" s="45"/>
      <c r="BN207" s="44"/>
      <c r="BO207" s="45"/>
      <c r="BP207" s="44"/>
      <c r="BQ207" s="45"/>
      <c r="BR207" s="44"/>
      <c r="BS207">
        <v>1</v>
      </c>
      <c r="BT207" s="112" t="str">
        <f>REPLACE(INDEX(GroupVertices[Group],MATCH("~"&amp;Edges[[#This Row],[Vertex 1]],GroupVertices[Vertex],0)),1,1,"")</f>
        <v>1</v>
      </c>
      <c r="BU207" s="112" t="str">
        <f>REPLACE(INDEX(GroupVertices[Group],MATCH("~"&amp;Edges[[#This Row],[Vertex 2]],GroupVertices[Vertex],0)),1,1,"")</f>
        <v>1</v>
      </c>
    </row>
    <row r="208" spans="1:73" ht="15">
      <c r="A208" s="59" t="s">
        <v>291</v>
      </c>
      <c r="B208" s="59" t="s">
        <v>328</v>
      </c>
      <c r="C208" s="60"/>
      <c r="D208" s="61"/>
      <c r="E208" s="62"/>
      <c r="F208" s="63"/>
      <c r="G208" s="60"/>
      <c r="H208" s="64"/>
      <c r="I208" s="65"/>
      <c r="J208" s="65"/>
      <c r="K208" s="30" t="s">
        <v>65</v>
      </c>
      <c r="L208" s="72">
        <v>208</v>
      </c>
      <c r="M2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8" s="67"/>
      <c r="O208" t="s">
        <v>484</v>
      </c>
      <c r="P208" s="73">
        <v>44732.545127314814</v>
      </c>
      <c r="Q208" t="s">
        <v>609</v>
      </c>
      <c r="R208">
        <v>0</v>
      </c>
      <c r="S208">
        <v>0</v>
      </c>
      <c r="T208">
        <v>0</v>
      </c>
      <c r="U208">
        <v>0</v>
      </c>
      <c r="W208" s="74" t="s">
        <v>698</v>
      </c>
      <c r="AC208" s="74" t="s">
        <v>787</v>
      </c>
      <c r="AD208" t="s">
        <v>794</v>
      </c>
      <c r="AE208" s="75" t="str">
        <f>HYPERLINK("https://twitter.com/manisewidiarti/status/1538870530392006656")</f>
        <v>https://twitter.com/manisewidiarti/status/1538870530392006656</v>
      </c>
      <c r="AF208" s="73">
        <v>44732.545127314814</v>
      </c>
      <c r="AG208" s="77">
        <v>44732</v>
      </c>
      <c r="AH208" s="74" t="s">
        <v>923</v>
      </c>
      <c r="AV208" s="75" t="str">
        <f>HYPERLINK("https://pbs.twimg.com/profile_images/1566765240179499010/TFlWzTGL_normal.jpg")</f>
        <v>https://pbs.twimg.com/profile_images/1566765240179499010/TFlWzTGL_normal.jpg</v>
      </c>
      <c r="AW208" s="74" t="s">
        <v>1144</v>
      </c>
      <c r="AX208" s="74" t="s">
        <v>1144</v>
      </c>
      <c r="AZ208" s="74" t="s">
        <v>1384</v>
      </c>
      <c r="BA208" s="74" t="s">
        <v>1190</v>
      </c>
      <c r="BB208" s="74" t="s">
        <v>1384</v>
      </c>
      <c r="BC208" s="74" t="s">
        <v>1190</v>
      </c>
      <c r="BD208" s="74" t="s">
        <v>1450</v>
      </c>
      <c r="BJ208" s="44">
        <v>4</v>
      </c>
      <c r="BK208" s="45">
        <v>40</v>
      </c>
      <c r="BL208" s="44">
        <v>1</v>
      </c>
      <c r="BM208" s="45">
        <v>10</v>
      </c>
      <c r="BN208" s="44">
        <v>0</v>
      </c>
      <c r="BO208" s="45">
        <v>0</v>
      </c>
      <c r="BP208" s="44">
        <v>5</v>
      </c>
      <c r="BQ208" s="45">
        <v>50</v>
      </c>
      <c r="BR208" s="44">
        <v>10</v>
      </c>
      <c r="BS208">
        <v>1</v>
      </c>
      <c r="BT208" s="112" t="str">
        <f>REPLACE(INDEX(GroupVertices[Group],MATCH("~"&amp;Edges[[#This Row],[Vertex 1]],GroupVertices[Vertex],0)),1,1,"")</f>
        <v>19</v>
      </c>
      <c r="BU208" s="112" t="str">
        <f>REPLACE(INDEX(GroupVertices[Group],MATCH("~"&amp;Edges[[#This Row],[Vertex 2]],GroupVertices[Vertex],0)),1,1,"")</f>
        <v>19</v>
      </c>
    </row>
    <row r="209" spans="1:73" ht="15">
      <c r="A209" s="59" t="s">
        <v>291</v>
      </c>
      <c r="B209" s="59" t="s">
        <v>291</v>
      </c>
      <c r="C209" s="60"/>
      <c r="D209" s="61"/>
      <c r="E209" s="62"/>
      <c r="F209" s="63"/>
      <c r="G209" s="60"/>
      <c r="H209" s="64"/>
      <c r="I209" s="65"/>
      <c r="J209" s="65"/>
      <c r="K209" s="30" t="s">
        <v>65</v>
      </c>
      <c r="L209" s="72">
        <v>209</v>
      </c>
      <c r="M2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9" s="67"/>
      <c r="O209" t="s">
        <v>177</v>
      </c>
      <c r="P209" s="73">
        <v>44732.24650462963</v>
      </c>
      <c r="Q209" t="s">
        <v>610</v>
      </c>
      <c r="R209">
        <v>1</v>
      </c>
      <c r="S209">
        <v>1</v>
      </c>
      <c r="T209">
        <v>0</v>
      </c>
      <c r="U209">
        <v>0</v>
      </c>
      <c r="W209" s="74" t="s">
        <v>699</v>
      </c>
      <c r="AC209" s="74" t="s">
        <v>787</v>
      </c>
      <c r="AD209" t="s">
        <v>794</v>
      </c>
      <c r="AE209" s="75" t="str">
        <f>HYPERLINK("https://twitter.com/manisewidiarti/status/1538762311732629504")</f>
        <v>https://twitter.com/manisewidiarti/status/1538762311732629504</v>
      </c>
      <c r="AF209" s="73">
        <v>44732.24650462963</v>
      </c>
      <c r="AG209" s="77">
        <v>44732</v>
      </c>
      <c r="AH209" s="74" t="s">
        <v>924</v>
      </c>
      <c r="AV209" s="75" t="str">
        <f>HYPERLINK("https://pbs.twimg.com/profile_images/1566765240179499010/TFlWzTGL_normal.jpg")</f>
        <v>https://pbs.twimg.com/profile_images/1566765240179499010/TFlWzTGL_normal.jpg</v>
      </c>
      <c r="AW209" s="74" t="s">
        <v>1145</v>
      </c>
      <c r="AX209" s="74" t="s">
        <v>1145</v>
      </c>
      <c r="AZ209" s="74" t="s">
        <v>1384</v>
      </c>
      <c r="BA209" s="74" t="s">
        <v>1384</v>
      </c>
      <c r="BB209" s="74" t="s">
        <v>1384</v>
      </c>
      <c r="BC209" s="74" t="s">
        <v>1145</v>
      </c>
      <c r="BD209" s="74" t="s">
        <v>1450</v>
      </c>
      <c r="BJ209" s="44">
        <v>4</v>
      </c>
      <c r="BK209" s="45">
        <v>16.666666666666668</v>
      </c>
      <c r="BL209" s="44">
        <v>1</v>
      </c>
      <c r="BM209" s="45">
        <v>4.166666666666667</v>
      </c>
      <c r="BN209" s="44">
        <v>0</v>
      </c>
      <c r="BO209" s="45">
        <v>0</v>
      </c>
      <c r="BP209" s="44">
        <v>19</v>
      </c>
      <c r="BQ209" s="45">
        <v>79.16666666666667</v>
      </c>
      <c r="BR209" s="44">
        <v>24</v>
      </c>
      <c r="BS209">
        <v>1</v>
      </c>
      <c r="BT209" s="112" t="str">
        <f>REPLACE(INDEX(GroupVertices[Group],MATCH("~"&amp;Edges[[#This Row],[Vertex 1]],GroupVertices[Vertex],0)),1,1,"")</f>
        <v>19</v>
      </c>
      <c r="BU209" s="112" t="str">
        <f>REPLACE(INDEX(GroupVertices[Group],MATCH("~"&amp;Edges[[#This Row],[Vertex 2]],GroupVertices[Vertex],0)),1,1,"")</f>
        <v>19</v>
      </c>
    </row>
    <row r="210" spans="1:73" ht="15">
      <c r="A210" s="59" t="s">
        <v>290</v>
      </c>
      <c r="B210" s="59" t="s">
        <v>291</v>
      </c>
      <c r="C210" s="60"/>
      <c r="D210" s="61"/>
      <c r="E210" s="62"/>
      <c r="F210" s="63"/>
      <c r="G210" s="60"/>
      <c r="H210" s="64"/>
      <c r="I210" s="65"/>
      <c r="J210" s="65"/>
      <c r="K210" s="30" t="s">
        <v>65</v>
      </c>
      <c r="L210" s="72">
        <v>210</v>
      </c>
      <c r="M2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0" s="67"/>
      <c r="O210" t="s">
        <v>483</v>
      </c>
      <c r="P210" s="73">
        <v>44972.248773148145</v>
      </c>
      <c r="Q210" t="s">
        <v>608</v>
      </c>
      <c r="R210">
        <v>0</v>
      </c>
      <c r="S210">
        <v>1</v>
      </c>
      <c r="T210">
        <v>1</v>
      </c>
      <c r="U210">
        <v>0</v>
      </c>
      <c r="V210">
        <v>24</v>
      </c>
      <c r="W210" s="74" t="s">
        <v>697</v>
      </c>
      <c r="Z210" t="s">
        <v>758</v>
      </c>
      <c r="AC210" s="74" t="s">
        <v>789</v>
      </c>
      <c r="AD210" t="s">
        <v>794</v>
      </c>
      <c r="AE210" s="75" t="str">
        <f>HYPERLINK("https://twitter.com/s_cintanirmala/status/1625736222651088897")</f>
        <v>https://twitter.com/s_cintanirmala/status/1625736222651088897</v>
      </c>
      <c r="AF210" s="73">
        <v>44972.248773148145</v>
      </c>
      <c r="AG210" s="77">
        <v>44972</v>
      </c>
      <c r="AH210" s="74" t="s">
        <v>922</v>
      </c>
      <c r="AV210" s="75" t="str">
        <f>HYPERLINK("https://pbs.twimg.com/profile_images/1562936385258266625/MwfjhiWX_normal.jpg")</f>
        <v>https://pbs.twimg.com/profile_images/1562936385258266625/MwfjhiWX_normal.jpg</v>
      </c>
      <c r="AW210" s="74" t="s">
        <v>1143</v>
      </c>
      <c r="AX210" s="74" t="s">
        <v>1301</v>
      </c>
      <c r="AY210" s="74" t="s">
        <v>1374</v>
      </c>
      <c r="AZ210" s="74" t="s">
        <v>1396</v>
      </c>
      <c r="BA210" s="74" t="s">
        <v>1384</v>
      </c>
      <c r="BB210" s="74" t="s">
        <v>1384</v>
      </c>
      <c r="BC210" s="74" t="s">
        <v>1396</v>
      </c>
      <c r="BD210" s="74" t="s">
        <v>1449</v>
      </c>
      <c r="BJ210" s="44"/>
      <c r="BK210" s="45"/>
      <c r="BL210" s="44"/>
      <c r="BM210" s="45"/>
      <c r="BN210" s="44"/>
      <c r="BO210" s="45"/>
      <c r="BP210" s="44"/>
      <c r="BQ210" s="45"/>
      <c r="BR210" s="44"/>
      <c r="BS210">
        <v>1</v>
      </c>
      <c r="BT210" s="112" t="str">
        <f>REPLACE(INDEX(GroupVertices[Group],MATCH("~"&amp;Edges[[#This Row],[Vertex 1]],GroupVertices[Vertex],0)),1,1,"")</f>
        <v>1</v>
      </c>
      <c r="BU210" s="112" t="str">
        <f>REPLACE(INDEX(GroupVertices[Group],MATCH("~"&amp;Edges[[#This Row],[Vertex 2]],GroupVertices[Vertex],0)),1,1,"")</f>
        <v>19</v>
      </c>
    </row>
    <row r="211" spans="1:73" ht="15">
      <c r="A211" s="59" t="s">
        <v>290</v>
      </c>
      <c r="B211" s="59" t="s">
        <v>461</v>
      </c>
      <c r="C211" s="60"/>
      <c r="D211" s="61"/>
      <c r="E211" s="62"/>
      <c r="F211" s="63"/>
      <c r="G211" s="60"/>
      <c r="H211" s="64"/>
      <c r="I211" s="65"/>
      <c r="J211" s="65"/>
      <c r="K211" s="30" t="s">
        <v>65</v>
      </c>
      <c r="L211" s="72">
        <v>211</v>
      </c>
      <c r="M2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1" s="67"/>
      <c r="O211" t="s">
        <v>483</v>
      </c>
      <c r="P211" s="73">
        <v>44972.248773148145</v>
      </c>
      <c r="Q211" t="s">
        <v>608</v>
      </c>
      <c r="R211">
        <v>0</v>
      </c>
      <c r="S211">
        <v>1</v>
      </c>
      <c r="T211">
        <v>1</v>
      </c>
      <c r="U211">
        <v>0</v>
      </c>
      <c r="V211">
        <v>24</v>
      </c>
      <c r="W211" s="74" t="s">
        <v>697</v>
      </c>
      <c r="Z211" t="s">
        <v>758</v>
      </c>
      <c r="AC211" s="74" t="s">
        <v>789</v>
      </c>
      <c r="AD211" t="s">
        <v>794</v>
      </c>
      <c r="AE211" s="75" t="str">
        <f>HYPERLINK("https://twitter.com/s_cintanirmala/status/1625736222651088897")</f>
        <v>https://twitter.com/s_cintanirmala/status/1625736222651088897</v>
      </c>
      <c r="AF211" s="73">
        <v>44972.248773148145</v>
      </c>
      <c r="AG211" s="77">
        <v>44972</v>
      </c>
      <c r="AH211" s="74" t="s">
        <v>922</v>
      </c>
      <c r="AV211" s="75" t="str">
        <f>HYPERLINK("https://pbs.twimg.com/profile_images/1562936385258266625/MwfjhiWX_normal.jpg")</f>
        <v>https://pbs.twimg.com/profile_images/1562936385258266625/MwfjhiWX_normal.jpg</v>
      </c>
      <c r="AW211" s="74" t="s">
        <v>1143</v>
      </c>
      <c r="AX211" s="74" t="s">
        <v>1301</v>
      </c>
      <c r="AY211" s="74" t="s">
        <v>1374</v>
      </c>
      <c r="AZ211" s="74" t="s">
        <v>1396</v>
      </c>
      <c r="BA211" s="74" t="s">
        <v>1384</v>
      </c>
      <c r="BB211" s="74" t="s">
        <v>1384</v>
      </c>
      <c r="BC211" s="74" t="s">
        <v>1396</v>
      </c>
      <c r="BD211" s="74" t="s">
        <v>1449</v>
      </c>
      <c r="BJ211" s="44">
        <v>3</v>
      </c>
      <c r="BK211" s="45">
        <v>17.647058823529413</v>
      </c>
      <c r="BL211" s="44">
        <v>0</v>
      </c>
      <c r="BM211" s="45">
        <v>0</v>
      </c>
      <c r="BN211" s="44">
        <v>0</v>
      </c>
      <c r="BO211" s="45">
        <v>0</v>
      </c>
      <c r="BP211" s="44">
        <v>14</v>
      </c>
      <c r="BQ211" s="45">
        <v>82.3529411764706</v>
      </c>
      <c r="BR211" s="44">
        <v>17</v>
      </c>
      <c r="BS211">
        <v>1</v>
      </c>
      <c r="BT211" s="112" t="str">
        <f>REPLACE(INDEX(GroupVertices[Group],MATCH("~"&amp;Edges[[#This Row],[Vertex 1]],GroupVertices[Vertex],0)),1,1,"")</f>
        <v>1</v>
      </c>
      <c r="BU211" s="112" t="str">
        <f>REPLACE(INDEX(GroupVertices[Group],MATCH("~"&amp;Edges[[#This Row],[Vertex 2]],GroupVertices[Vertex],0)),1,1,"")</f>
        <v>1</v>
      </c>
    </row>
    <row r="212" spans="1:73" ht="15">
      <c r="A212" s="59" t="s">
        <v>292</v>
      </c>
      <c r="B212" s="59" t="s">
        <v>292</v>
      </c>
      <c r="C212" s="60"/>
      <c r="D212" s="61"/>
      <c r="E212" s="62"/>
      <c r="F212" s="63"/>
      <c r="G212" s="60"/>
      <c r="H212" s="64"/>
      <c r="I212" s="65"/>
      <c r="J212" s="65"/>
      <c r="K212" s="30" t="s">
        <v>65</v>
      </c>
      <c r="L212" s="72">
        <v>212</v>
      </c>
      <c r="M2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2" s="67"/>
      <c r="O212" t="s">
        <v>177</v>
      </c>
      <c r="P212" s="73">
        <v>44560.125601851854</v>
      </c>
      <c r="Q212" t="s">
        <v>611</v>
      </c>
      <c r="R212">
        <v>0</v>
      </c>
      <c r="S212">
        <v>0</v>
      </c>
      <c r="T212">
        <v>0</v>
      </c>
      <c r="U212">
        <v>0</v>
      </c>
      <c r="AC212" s="74" t="s">
        <v>787</v>
      </c>
      <c r="AD212" t="s">
        <v>794</v>
      </c>
      <c r="AE212" s="75" t="str">
        <f>HYPERLINK("https://twitter.com/odang4z/status/1476387785124712450")</f>
        <v>https://twitter.com/odang4z/status/1476387785124712450</v>
      </c>
      <c r="AF212" s="73">
        <v>44560.125601851854</v>
      </c>
      <c r="AG212" s="77">
        <v>44560</v>
      </c>
      <c r="AH212" s="74" t="s">
        <v>925</v>
      </c>
      <c r="AV212" s="75" t="str">
        <f>HYPERLINK("https://pbs.twimg.com/profile_images/1405213344793989126/Yu21MbZB_normal.jpg")</f>
        <v>https://pbs.twimg.com/profile_images/1405213344793989126/Yu21MbZB_normal.jpg</v>
      </c>
      <c r="AW212" s="74" t="s">
        <v>1146</v>
      </c>
      <c r="AX212" s="74" t="s">
        <v>1146</v>
      </c>
      <c r="AZ212" s="74" t="s">
        <v>1384</v>
      </c>
      <c r="BA212" s="74" t="s">
        <v>1384</v>
      </c>
      <c r="BB212" s="74" t="s">
        <v>1384</v>
      </c>
      <c r="BC212" s="74" t="s">
        <v>1146</v>
      </c>
      <c r="BD212">
        <v>49373951</v>
      </c>
      <c r="BJ212" s="44">
        <v>3</v>
      </c>
      <c r="BK212" s="45">
        <v>100</v>
      </c>
      <c r="BL212" s="44">
        <v>0</v>
      </c>
      <c r="BM212" s="45">
        <v>0</v>
      </c>
      <c r="BN212" s="44">
        <v>0</v>
      </c>
      <c r="BO212" s="45">
        <v>0</v>
      </c>
      <c r="BP212" s="44">
        <v>0</v>
      </c>
      <c r="BQ212" s="45">
        <v>0</v>
      </c>
      <c r="BR212" s="44">
        <v>3</v>
      </c>
      <c r="BS212">
        <v>27</v>
      </c>
      <c r="BT212" s="112" t="str">
        <f>REPLACE(INDEX(GroupVertices[Group],MATCH("~"&amp;Edges[[#This Row],[Vertex 1]],GroupVertices[Vertex],0)),1,1,"")</f>
        <v>3</v>
      </c>
      <c r="BU212" s="112" t="str">
        <f>REPLACE(INDEX(GroupVertices[Group],MATCH("~"&amp;Edges[[#This Row],[Vertex 2]],GroupVertices[Vertex],0)),1,1,"")</f>
        <v>3</v>
      </c>
    </row>
    <row r="213" spans="1:73" ht="15">
      <c r="A213" s="59" t="s">
        <v>293</v>
      </c>
      <c r="B213" s="59" t="s">
        <v>462</v>
      </c>
      <c r="C213" s="60"/>
      <c r="D213" s="61"/>
      <c r="E213" s="62"/>
      <c r="F213" s="63"/>
      <c r="G213" s="60"/>
      <c r="H213" s="64"/>
      <c r="I213" s="65"/>
      <c r="J213" s="65"/>
      <c r="K213" s="30" t="s">
        <v>65</v>
      </c>
      <c r="L213" s="72">
        <v>213</v>
      </c>
      <c r="M2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3" s="67"/>
      <c r="O213" t="s">
        <v>481</v>
      </c>
      <c r="P213" s="73">
        <v>44599.467465277776</v>
      </c>
      <c r="Q213" t="s">
        <v>612</v>
      </c>
      <c r="R213">
        <v>0</v>
      </c>
      <c r="S213">
        <v>0</v>
      </c>
      <c r="T213">
        <v>0</v>
      </c>
      <c r="U213">
        <v>0</v>
      </c>
      <c r="X213" s="75" t="str">
        <f>HYPERLINK("https://youtu.be/PA1YYNZ3g70")</f>
        <v>https://youtu.be/PA1YYNZ3g70</v>
      </c>
      <c r="Y213" t="s">
        <v>717</v>
      </c>
      <c r="Z213" t="s">
        <v>462</v>
      </c>
      <c r="AC213" s="74" t="s">
        <v>786</v>
      </c>
      <c r="AD213" t="s">
        <v>794</v>
      </c>
      <c r="AE213" s="75" t="str">
        <f>HYPERLINK("https://twitter.com/marieberubah/status/1490644798889668615")</f>
        <v>https://twitter.com/marieberubah/status/1490644798889668615</v>
      </c>
      <c r="AF213" s="73">
        <v>44599.467465277776</v>
      </c>
      <c r="AG213" s="77">
        <v>44599</v>
      </c>
      <c r="AH213" s="74" t="s">
        <v>926</v>
      </c>
      <c r="AI213" t="b">
        <v>0</v>
      </c>
      <c r="AV213" s="75" t="str">
        <f>HYPERLINK("https://pbs.twimg.com/profile_images/1692564893118164992/I-c6NE3F_normal.jpg")</f>
        <v>https://pbs.twimg.com/profile_images/1692564893118164992/I-c6NE3F_normal.jpg</v>
      </c>
      <c r="AW213" s="74" t="s">
        <v>1147</v>
      </c>
      <c r="AX213" s="74" t="s">
        <v>1147</v>
      </c>
      <c r="AZ213" s="74" t="s">
        <v>1384</v>
      </c>
      <c r="BA213" s="74" t="s">
        <v>1384</v>
      </c>
      <c r="BB213" s="74" t="s">
        <v>1384</v>
      </c>
      <c r="BC213" s="74" t="s">
        <v>1147</v>
      </c>
      <c r="BD213">
        <v>620006235</v>
      </c>
      <c r="BJ213" s="44">
        <v>3</v>
      </c>
      <c r="BK213" s="45">
        <v>27.272727272727273</v>
      </c>
      <c r="BL213" s="44">
        <v>0</v>
      </c>
      <c r="BM213" s="45">
        <v>0</v>
      </c>
      <c r="BN213" s="44">
        <v>0</v>
      </c>
      <c r="BO213" s="45">
        <v>0</v>
      </c>
      <c r="BP213" s="44">
        <v>8</v>
      </c>
      <c r="BQ213" s="45">
        <v>72.72727272727273</v>
      </c>
      <c r="BR213" s="44">
        <v>11</v>
      </c>
      <c r="BS213">
        <v>1</v>
      </c>
      <c r="BT213" s="112" t="str">
        <f>REPLACE(INDEX(GroupVertices[Group],MATCH("~"&amp;Edges[[#This Row],[Vertex 1]],GroupVertices[Vertex],0)),1,1,"")</f>
        <v>30</v>
      </c>
      <c r="BU213" s="112" t="str">
        <f>REPLACE(INDEX(GroupVertices[Group],MATCH("~"&amp;Edges[[#This Row],[Vertex 2]],GroupVertices[Vertex],0)),1,1,"")</f>
        <v>30</v>
      </c>
    </row>
    <row r="214" spans="1:73" ht="15">
      <c r="A214" s="59" t="s">
        <v>294</v>
      </c>
      <c r="B214" s="59" t="s">
        <v>339</v>
      </c>
      <c r="C214" s="60"/>
      <c r="D214" s="61"/>
      <c r="E214" s="62"/>
      <c r="F214" s="63"/>
      <c r="G214" s="60"/>
      <c r="H214" s="64"/>
      <c r="I214" s="65"/>
      <c r="J214" s="65"/>
      <c r="K214" s="30" t="s">
        <v>65</v>
      </c>
      <c r="L214" s="72">
        <v>214</v>
      </c>
      <c r="M2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4" s="67"/>
      <c r="O214" t="s">
        <v>482</v>
      </c>
      <c r="P214" s="73">
        <v>44822.54193287037</v>
      </c>
      <c r="Q214" t="s">
        <v>613</v>
      </c>
      <c r="R214">
        <v>0</v>
      </c>
      <c r="S214">
        <v>1</v>
      </c>
      <c r="T214">
        <v>0</v>
      </c>
      <c r="U214">
        <v>0</v>
      </c>
      <c r="W214" s="74" t="s">
        <v>682</v>
      </c>
      <c r="Z214" t="s">
        <v>339</v>
      </c>
      <c r="AC214" s="74" t="s">
        <v>787</v>
      </c>
      <c r="AD214" t="s">
        <v>794</v>
      </c>
      <c r="AE214" s="75" t="str">
        <f>HYPERLINK("https://twitter.com/rizalmedian/status/1571484280546807808")</f>
        <v>https://twitter.com/rizalmedian/status/1571484280546807808</v>
      </c>
      <c r="AF214" s="73">
        <v>44822.54193287037</v>
      </c>
      <c r="AG214" s="77">
        <v>44822</v>
      </c>
      <c r="AH214" s="74" t="s">
        <v>927</v>
      </c>
      <c r="AV214" s="75" t="str">
        <f>HYPERLINK("https://pbs.twimg.com/profile_images/1544080357473099777/d7EycaIp_normal.jpg")</f>
        <v>https://pbs.twimg.com/profile_images/1544080357473099777/d7EycaIp_normal.jpg</v>
      </c>
      <c r="AW214" s="74" t="s">
        <v>1148</v>
      </c>
      <c r="AX214" s="74" t="s">
        <v>1302</v>
      </c>
      <c r="AY214" s="74" t="s">
        <v>1324</v>
      </c>
      <c r="AZ214" s="74" t="s">
        <v>1302</v>
      </c>
      <c r="BA214" s="74" t="s">
        <v>1384</v>
      </c>
      <c r="BB214" s="74" t="s">
        <v>1384</v>
      </c>
      <c r="BC214" s="74" t="s">
        <v>1302</v>
      </c>
      <c r="BD214" s="74" t="s">
        <v>1451</v>
      </c>
      <c r="BJ214" s="44">
        <v>2</v>
      </c>
      <c r="BK214" s="45">
        <v>11.764705882352942</v>
      </c>
      <c r="BL214" s="44">
        <v>0</v>
      </c>
      <c r="BM214" s="45">
        <v>0</v>
      </c>
      <c r="BN214" s="44">
        <v>0</v>
      </c>
      <c r="BO214" s="45">
        <v>0</v>
      </c>
      <c r="BP214" s="44">
        <v>15</v>
      </c>
      <c r="BQ214" s="45">
        <v>88.23529411764706</v>
      </c>
      <c r="BR214" s="44">
        <v>17</v>
      </c>
      <c r="BS214">
        <v>1</v>
      </c>
      <c r="BT214" s="112" t="str">
        <f>REPLACE(INDEX(GroupVertices[Group],MATCH("~"&amp;Edges[[#This Row],[Vertex 1]],GroupVertices[Vertex],0)),1,1,"")</f>
        <v>12</v>
      </c>
      <c r="BU214" s="112" t="str">
        <f>REPLACE(INDEX(GroupVertices[Group],MATCH("~"&amp;Edges[[#This Row],[Vertex 2]],GroupVertices[Vertex],0)),1,1,"")</f>
        <v>12</v>
      </c>
    </row>
    <row r="215" spans="1:73" ht="15">
      <c r="A215" s="59" t="s">
        <v>295</v>
      </c>
      <c r="B215" s="59" t="s">
        <v>463</v>
      </c>
      <c r="C215" s="60"/>
      <c r="D215" s="61"/>
      <c r="E215" s="62"/>
      <c r="F215" s="63"/>
      <c r="G215" s="60"/>
      <c r="H215" s="64"/>
      <c r="I215" s="65"/>
      <c r="J215" s="65"/>
      <c r="K215" s="30" t="s">
        <v>65</v>
      </c>
      <c r="L215" s="72">
        <v>215</v>
      </c>
      <c r="M2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5" s="67"/>
      <c r="O215" t="s">
        <v>483</v>
      </c>
      <c r="P215" s="73">
        <v>44811.67144675926</v>
      </c>
      <c r="Q215" t="s">
        <v>614</v>
      </c>
      <c r="R215">
        <v>3</v>
      </c>
      <c r="S215">
        <v>5</v>
      </c>
      <c r="T215">
        <v>1</v>
      </c>
      <c r="U215">
        <v>0</v>
      </c>
      <c r="W215" s="74" t="s">
        <v>682</v>
      </c>
      <c r="Z215" t="s">
        <v>759</v>
      </c>
      <c r="AC215" s="74" t="s">
        <v>787</v>
      </c>
      <c r="AD215" t="s">
        <v>794</v>
      </c>
      <c r="AE215" s="75" t="str">
        <f>HYPERLINK("https://twitter.com/awakblangdalam/status/1567544944809889793")</f>
        <v>https://twitter.com/awakblangdalam/status/1567544944809889793</v>
      </c>
      <c r="AF215" s="73">
        <v>44811.67144675926</v>
      </c>
      <c r="AG215" s="77">
        <v>44811</v>
      </c>
      <c r="AH215" s="74" t="s">
        <v>928</v>
      </c>
      <c r="AV215" s="75" t="str">
        <f>HYPERLINK("https://pbs.twimg.com/profile_images/1529768170692628481/tLhXznq8_normal.jpg")</f>
        <v>https://pbs.twimg.com/profile_images/1529768170692628481/tLhXznq8_normal.jpg</v>
      </c>
      <c r="AW215" s="74" t="s">
        <v>1149</v>
      </c>
      <c r="AX215" s="74" t="s">
        <v>1303</v>
      </c>
      <c r="AY215" s="74" t="s">
        <v>1375</v>
      </c>
      <c r="AZ215" s="74" t="s">
        <v>1397</v>
      </c>
      <c r="BA215" s="74" t="s">
        <v>1384</v>
      </c>
      <c r="BB215" s="74" t="s">
        <v>1384</v>
      </c>
      <c r="BC215" s="74" t="s">
        <v>1397</v>
      </c>
      <c r="BD215" s="74" t="s">
        <v>1452</v>
      </c>
      <c r="BJ215" s="44"/>
      <c r="BK215" s="45"/>
      <c r="BL215" s="44"/>
      <c r="BM215" s="45"/>
      <c r="BN215" s="44"/>
      <c r="BO215" s="45"/>
      <c r="BP215" s="44"/>
      <c r="BQ215" s="45"/>
      <c r="BR215" s="44"/>
      <c r="BS215">
        <v>1</v>
      </c>
      <c r="BT215" s="112" t="str">
        <f>REPLACE(INDEX(GroupVertices[Group],MATCH("~"&amp;Edges[[#This Row],[Vertex 1]],GroupVertices[Vertex],0)),1,1,"")</f>
        <v>11</v>
      </c>
      <c r="BU215" s="112" t="str">
        <f>REPLACE(INDEX(GroupVertices[Group],MATCH("~"&amp;Edges[[#This Row],[Vertex 2]],GroupVertices[Vertex],0)),1,1,"")</f>
        <v>11</v>
      </c>
    </row>
    <row r="216" spans="1:73" ht="15">
      <c r="A216" s="59" t="s">
        <v>295</v>
      </c>
      <c r="B216" s="59" t="s">
        <v>464</v>
      </c>
      <c r="C216" s="60"/>
      <c r="D216" s="61"/>
      <c r="E216" s="62"/>
      <c r="F216" s="63"/>
      <c r="G216" s="60"/>
      <c r="H216" s="64"/>
      <c r="I216" s="65"/>
      <c r="J216" s="65"/>
      <c r="K216" s="30" t="s">
        <v>65</v>
      </c>
      <c r="L216" s="72">
        <v>216</v>
      </c>
      <c r="M2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6" s="67"/>
      <c r="O216" t="s">
        <v>483</v>
      </c>
      <c r="P216" s="73">
        <v>44811.67144675926</v>
      </c>
      <c r="Q216" t="s">
        <v>614</v>
      </c>
      <c r="R216">
        <v>3</v>
      </c>
      <c r="S216">
        <v>5</v>
      </c>
      <c r="T216">
        <v>1</v>
      </c>
      <c r="U216">
        <v>0</v>
      </c>
      <c r="W216" s="74" t="s">
        <v>682</v>
      </c>
      <c r="Z216" t="s">
        <v>759</v>
      </c>
      <c r="AC216" s="74" t="s">
        <v>787</v>
      </c>
      <c r="AD216" t="s">
        <v>794</v>
      </c>
      <c r="AE216" s="75" t="str">
        <f>HYPERLINK("https://twitter.com/awakblangdalam/status/1567544944809889793")</f>
        <v>https://twitter.com/awakblangdalam/status/1567544944809889793</v>
      </c>
      <c r="AF216" s="73">
        <v>44811.67144675926</v>
      </c>
      <c r="AG216" s="77">
        <v>44811</v>
      </c>
      <c r="AH216" s="74" t="s">
        <v>928</v>
      </c>
      <c r="AV216" s="75" t="str">
        <f>HYPERLINK("https://pbs.twimg.com/profile_images/1529768170692628481/tLhXznq8_normal.jpg")</f>
        <v>https://pbs.twimg.com/profile_images/1529768170692628481/tLhXznq8_normal.jpg</v>
      </c>
      <c r="AW216" s="74" t="s">
        <v>1149</v>
      </c>
      <c r="AX216" s="74" t="s">
        <v>1303</v>
      </c>
      <c r="AY216" s="74" t="s">
        <v>1375</v>
      </c>
      <c r="AZ216" s="74" t="s">
        <v>1397</v>
      </c>
      <c r="BA216" s="74" t="s">
        <v>1384</v>
      </c>
      <c r="BB216" s="74" t="s">
        <v>1384</v>
      </c>
      <c r="BC216" s="74" t="s">
        <v>1397</v>
      </c>
      <c r="BD216" s="74" t="s">
        <v>1452</v>
      </c>
      <c r="BJ216" s="44"/>
      <c r="BK216" s="45"/>
      <c r="BL216" s="44"/>
      <c r="BM216" s="45"/>
      <c r="BN216" s="44"/>
      <c r="BO216" s="45"/>
      <c r="BP216" s="44"/>
      <c r="BQ216" s="45"/>
      <c r="BR216" s="44"/>
      <c r="BS216">
        <v>1</v>
      </c>
      <c r="BT216" s="112" t="str">
        <f>REPLACE(INDEX(GroupVertices[Group],MATCH("~"&amp;Edges[[#This Row],[Vertex 1]],GroupVertices[Vertex],0)),1,1,"")</f>
        <v>11</v>
      </c>
      <c r="BU216" s="112" t="str">
        <f>REPLACE(INDEX(GroupVertices[Group],MATCH("~"&amp;Edges[[#This Row],[Vertex 2]],GroupVertices[Vertex],0)),1,1,"")</f>
        <v>11</v>
      </c>
    </row>
    <row r="217" spans="1:73" ht="15">
      <c r="A217" s="59" t="s">
        <v>295</v>
      </c>
      <c r="B217" s="59" t="s">
        <v>465</v>
      </c>
      <c r="C217" s="60"/>
      <c r="D217" s="61"/>
      <c r="E217" s="62"/>
      <c r="F217" s="63"/>
      <c r="G217" s="60"/>
      <c r="H217" s="64"/>
      <c r="I217" s="65"/>
      <c r="J217" s="65"/>
      <c r="K217" s="30" t="s">
        <v>65</v>
      </c>
      <c r="L217" s="72">
        <v>217</v>
      </c>
      <c r="M2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7" s="67"/>
      <c r="O217" t="s">
        <v>482</v>
      </c>
      <c r="P217" s="73">
        <v>44811.67144675926</v>
      </c>
      <c r="Q217" t="s">
        <v>614</v>
      </c>
      <c r="R217">
        <v>3</v>
      </c>
      <c r="S217">
        <v>5</v>
      </c>
      <c r="T217">
        <v>1</v>
      </c>
      <c r="U217">
        <v>0</v>
      </c>
      <c r="W217" s="74" t="s">
        <v>682</v>
      </c>
      <c r="Z217" t="s">
        <v>759</v>
      </c>
      <c r="AC217" s="74" t="s">
        <v>787</v>
      </c>
      <c r="AD217" t="s">
        <v>794</v>
      </c>
      <c r="AE217" s="75" t="str">
        <f>HYPERLINK("https://twitter.com/awakblangdalam/status/1567544944809889793")</f>
        <v>https://twitter.com/awakblangdalam/status/1567544944809889793</v>
      </c>
      <c r="AF217" s="73">
        <v>44811.67144675926</v>
      </c>
      <c r="AG217" s="77">
        <v>44811</v>
      </c>
      <c r="AH217" s="74" t="s">
        <v>928</v>
      </c>
      <c r="AV217" s="75" t="str">
        <f>HYPERLINK("https://pbs.twimg.com/profile_images/1529768170692628481/tLhXznq8_normal.jpg")</f>
        <v>https://pbs.twimg.com/profile_images/1529768170692628481/tLhXznq8_normal.jpg</v>
      </c>
      <c r="AW217" s="74" t="s">
        <v>1149</v>
      </c>
      <c r="AX217" s="74" t="s">
        <v>1303</v>
      </c>
      <c r="AY217" s="74" t="s">
        <v>1375</v>
      </c>
      <c r="AZ217" s="74" t="s">
        <v>1397</v>
      </c>
      <c r="BA217" s="74" t="s">
        <v>1384</v>
      </c>
      <c r="BB217" s="74" t="s">
        <v>1384</v>
      </c>
      <c r="BC217" s="74" t="s">
        <v>1397</v>
      </c>
      <c r="BD217" s="74" t="s">
        <v>1452</v>
      </c>
      <c r="BJ217" s="44">
        <v>2</v>
      </c>
      <c r="BK217" s="45">
        <v>15.384615384615385</v>
      </c>
      <c r="BL217" s="44">
        <v>0</v>
      </c>
      <c r="BM217" s="45">
        <v>0</v>
      </c>
      <c r="BN217" s="44">
        <v>0</v>
      </c>
      <c r="BO217" s="45">
        <v>0</v>
      </c>
      <c r="BP217" s="44">
        <v>11</v>
      </c>
      <c r="BQ217" s="45">
        <v>84.61538461538461</v>
      </c>
      <c r="BR217" s="44">
        <v>13</v>
      </c>
      <c r="BS217">
        <v>1</v>
      </c>
      <c r="BT217" s="112" t="str">
        <f>REPLACE(INDEX(GroupVertices[Group],MATCH("~"&amp;Edges[[#This Row],[Vertex 1]],GroupVertices[Vertex],0)),1,1,"")</f>
        <v>11</v>
      </c>
      <c r="BU217" s="112" t="str">
        <f>REPLACE(INDEX(GroupVertices[Group],MATCH("~"&amp;Edges[[#This Row],[Vertex 2]],GroupVertices[Vertex],0)),1,1,"")</f>
        <v>11</v>
      </c>
    </row>
    <row r="218" spans="1:73" ht="15">
      <c r="A218" s="59" t="s">
        <v>295</v>
      </c>
      <c r="B218" s="59" t="s">
        <v>314</v>
      </c>
      <c r="C218" s="60"/>
      <c r="D218" s="61"/>
      <c r="E218" s="62"/>
      <c r="F218" s="63"/>
      <c r="G218" s="60"/>
      <c r="H218" s="64"/>
      <c r="I218" s="65"/>
      <c r="J218" s="65"/>
      <c r="K218" s="30" t="s">
        <v>65</v>
      </c>
      <c r="L218" s="72">
        <v>218</v>
      </c>
      <c r="M2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8" s="67"/>
      <c r="O218" t="s">
        <v>484</v>
      </c>
      <c r="P218" s="73">
        <v>44843.711643518516</v>
      </c>
      <c r="Q218" t="s">
        <v>615</v>
      </c>
      <c r="R218">
        <v>0</v>
      </c>
      <c r="S218">
        <v>0</v>
      </c>
      <c r="T218">
        <v>0</v>
      </c>
      <c r="U218">
        <v>0</v>
      </c>
      <c r="W218" s="74" t="s">
        <v>682</v>
      </c>
      <c r="AC218" s="74" t="s">
        <v>787</v>
      </c>
      <c r="AD218" t="s">
        <v>798</v>
      </c>
      <c r="AE218" s="75" t="str">
        <f>HYPERLINK("https://twitter.com/awakblangdalam/status/1579155925419425792")</f>
        <v>https://twitter.com/awakblangdalam/status/1579155925419425792</v>
      </c>
      <c r="AF218" s="73">
        <v>44843.711643518516</v>
      </c>
      <c r="AG218" s="77">
        <v>44843</v>
      </c>
      <c r="AH218" s="74" t="s">
        <v>929</v>
      </c>
      <c r="AV218" s="75" t="str">
        <f>HYPERLINK("https://pbs.twimg.com/profile_images/1529768170692628481/tLhXznq8_normal.jpg")</f>
        <v>https://pbs.twimg.com/profile_images/1529768170692628481/tLhXznq8_normal.jpg</v>
      </c>
      <c r="AW218" s="74" t="s">
        <v>1150</v>
      </c>
      <c r="AX218" s="74" t="s">
        <v>1150</v>
      </c>
      <c r="AZ218" s="74" t="s">
        <v>1384</v>
      </c>
      <c r="BA218" s="74" t="s">
        <v>1174</v>
      </c>
      <c r="BB218" s="74" t="s">
        <v>1384</v>
      </c>
      <c r="BC218" s="74" t="s">
        <v>1174</v>
      </c>
      <c r="BD218" s="74" t="s">
        <v>1452</v>
      </c>
      <c r="BJ218" s="44">
        <v>0</v>
      </c>
      <c r="BK218" s="45">
        <v>0</v>
      </c>
      <c r="BL218" s="44">
        <v>0</v>
      </c>
      <c r="BM218" s="45">
        <v>0</v>
      </c>
      <c r="BN218" s="44">
        <v>0</v>
      </c>
      <c r="BO218" s="45">
        <v>0</v>
      </c>
      <c r="BP218" s="44">
        <v>1</v>
      </c>
      <c r="BQ218" s="45">
        <v>100</v>
      </c>
      <c r="BR218" s="44">
        <v>1</v>
      </c>
      <c r="BS218">
        <v>1</v>
      </c>
      <c r="BT218" s="112" t="str">
        <f>REPLACE(INDEX(GroupVertices[Group],MATCH("~"&amp;Edges[[#This Row],[Vertex 1]],GroupVertices[Vertex],0)),1,1,"")</f>
        <v>11</v>
      </c>
      <c r="BU218" s="112" t="str">
        <f>REPLACE(INDEX(GroupVertices[Group],MATCH("~"&amp;Edges[[#This Row],[Vertex 2]],GroupVertices[Vertex],0)),1,1,"")</f>
        <v>11</v>
      </c>
    </row>
    <row r="219" spans="1:73" ht="15">
      <c r="A219" s="59" t="s">
        <v>296</v>
      </c>
      <c r="B219" s="59" t="s">
        <v>466</v>
      </c>
      <c r="C219" s="60"/>
      <c r="D219" s="61"/>
      <c r="E219" s="62"/>
      <c r="F219" s="63"/>
      <c r="G219" s="60"/>
      <c r="H219" s="64"/>
      <c r="I219" s="65"/>
      <c r="J219" s="65"/>
      <c r="K219" s="30" t="s">
        <v>65</v>
      </c>
      <c r="L219" s="72">
        <v>219</v>
      </c>
      <c r="M2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9" s="67"/>
      <c r="O219" t="s">
        <v>483</v>
      </c>
      <c r="P219" s="73">
        <v>44840.43109953704</v>
      </c>
      <c r="Q219" t="s">
        <v>616</v>
      </c>
      <c r="R219">
        <v>0</v>
      </c>
      <c r="S219">
        <v>0</v>
      </c>
      <c r="T219">
        <v>0</v>
      </c>
      <c r="U219">
        <v>0</v>
      </c>
      <c r="Z219" t="s">
        <v>760</v>
      </c>
      <c r="AC219" s="74" t="s">
        <v>787</v>
      </c>
      <c r="AD219" t="s">
        <v>794</v>
      </c>
      <c r="AE219" s="75" t="str">
        <f>HYPERLINK("https://twitter.com/rakyatkecik/status/1577967094263488512")</f>
        <v>https://twitter.com/rakyatkecik/status/1577967094263488512</v>
      </c>
      <c r="AF219" s="73">
        <v>44840.43109953704</v>
      </c>
      <c r="AG219" s="77">
        <v>44840</v>
      </c>
      <c r="AH219" s="74" t="s">
        <v>930</v>
      </c>
      <c r="AV219" s="75" t="str">
        <f>HYPERLINK("https://pbs.twimg.com/profile_images/1715725600445603840/Asg-oRZQ_normal.jpg")</f>
        <v>https://pbs.twimg.com/profile_images/1715725600445603840/Asg-oRZQ_normal.jpg</v>
      </c>
      <c r="AW219" s="74" t="s">
        <v>1151</v>
      </c>
      <c r="AX219" s="74" t="s">
        <v>1304</v>
      </c>
      <c r="AY219" s="74" t="s">
        <v>1376</v>
      </c>
      <c r="AZ219" s="74" t="s">
        <v>1398</v>
      </c>
      <c r="BA219" s="74" t="s">
        <v>1384</v>
      </c>
      <c r="BB219" s="74" t="s">
        <v>1384</v>
      </c>
      <c r="BC219" s="74" t="s">
        <v>1398</v>
      </c>
      <c r="BD219">
        <v>64611930</v>
      </c>
      <c r="BJ219" s="44">
        <v>3</v>
      </c>
      <c r="BK219" s="45">
        <v>60</v>
      </c>
      <c r="BL219" s="44">
        <v>0</v>
      </c>
      <c r="BM219" s="45">
        <v>0</v>
      </c>
      <c r="BN219" s="44">
        <v>0</v>
      </c>
      <c r="BO219" s="45">
        <v>0</v>
      </c>
      <c r="BP219" s="44">
        <v>2</v>
      </c>
      <c r="BQ219" s="45">
        <v>40</v>
      </c>
      <c r="BR219" s="44">
        <v>5</v>
      </c>
      <c r="BS219">
        <v>1</v>
      </c>
      <c r="BT219" s="112" t="str">
        <f>REPLACE(INDEX(GroupVertices[Group],MATCH("~"&amp;Edges[[#This Row],[Vertex 1]],GroupVertices[Vertex],0)),1,1,"")</f>
        <v>34</v>
      </c>
      <c r="BU219" s="112" t="str">
        <f>REPLACE(INDEX(GroupVertices[Group],MATCH("~"&amp;Edges[[#This Row],[Vertex 2]],GroupVertices[Vertex],0)),1,1,"")</f>
        <v>34</v>
      </c>
    </row>
    <row r="220" spans="1:73" ht="15">
      <c r="A220" s="59" t="s">
        <v>297</v>
      </c>
      <c r="B220" s="59" t="s">
        <v>297</v>
      </c>
      <c r="C220" s="60"/>
      <c r="D220" s="61"/>
      <c r="E220" s="62"/>
      <c r="F220" s="63"/>
      <c r="G220" s="60"/>
      <c r="H220" s="64"/>
      <c r="I220" s="65"/>
      <c r="J220" s="65"/>
      <c r="K220" s="30" t="s">
        <v>65</v>
      </c>
      <c r="L220" s="72">
        <v>220</v>
      </c>
      <c r="M2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0" s="67"/>
      <c r="O220" t="s">
        <v>177</v>
      </c>
      <c r="P220" s="73">
        <v>44708.092002314814</v>
      </c>
      <c r="Q220" t="s">
        <v>617</v>
      </c>
      <c r="R220">
        <v>0</v>
      </c>
      <c r="S220">
        <v>3</v>
      </c>
      <c r="T220">
        <v>0</v>
      </c>
      <c r="U220">
        <v>0</v>
      </c>
      <c r="W220" s="74" t="s">
        <v>682</v>
      </c>
      <c r="AC220" s="74" t="s">
        <v>787</v>
      </c>
      <c r="AD220" t="s">
        <v>794</v>
      </c>
      <c r="AE220" s="75" t="str">
        <f>HYPERLINK("https://twitter.com/terapungkembali/status/1530009013605236736")</f>
        <v>https://twitter.com/terapungkembali/status/1530009013605236736</v>
      </c>
      <c r="AF220" s="73">
        <v>44708.092002314814</v>
      </c>
      <c r="AG220" s="77">
        <v>44708</v>
      </c>
      <c r="AH220" s="74" t="s">
        <v>931</v>
      </c>
      <c r="AV220" s="75" t="str">
        <f>HYPERLINK("https://pbs.twimg.com/profile_images/1727941910642454528/MClKHgLX_normal.jpg")</f>
        <v>https://pbs.twimg.com/profile_images/1727941910642454528/MClKHgLX_normal.jpg</v>
      </c>
      <c r="AW220" s="74" t="s">
        <v>1152</v>
      </c>
      <c r="AX220" s="74" t="s">
        <v>1152</v>
      </c>
      <c r="AZ220" s="74" t="s">
        <v>1384</v>
      </c>
      <c r="BA220" s="74" t="s">
        <v>1384</v>
      </c>
      <c r="BB220" s="74" t="s">
        <v>1384</v>
      </c>
      <c r="BC220" s="74" t="s">
        <v>1152</v>
      </c>
      <c r="BD220" s="74" t="s">
        <v>1453</v>
      </c>
      <c r="BJ220" s="44">
        <v>0</v>
      </c>
      <c r="BK220" s="45">
        <v>0</v>
      </c>
      <c r="BL220" s="44">
        <v>0</v>
      </c>
      <c r="BM220" s="45">
        <v>0</v>
      </c>
      <c r="BN220" s="44">
        <v>0</v>
      </c>
      <c r="BO220" s="45">
        <v>0</v>
      </c>
      <c r="BP220" s="44">
        <v>12</v>
      </c>
      <c r="BQ220" s="45">
        <v>100</v>
      </c>
      <c r="BR220" s="44">
        <v>12</v>
      </c>
      <c r="BS220">
        <v>1</v>
      </c>
      <c r="BT220" s="112" t="str">
        <f>REPLACE(INDEX(GroupVertices[Group],MATCH("~"&amp;Edges[[#This Row],[Vertex 1]],GroupVertices[Vertex],0)),1,1,"")</f>
        <v>3</v>
      </c>
      <c r="BU220" s="112" t="str">
        <f>REPLACE(INDEX(GroupVertices[Group],MATCH("~"&amp;Edges[[#This Row],[Vertex 2]],GroupVertices[Vertex],0)),1,1,"")</f>
        <v>3</v>
      </c>
    </row>
    <row r="221" spans="1:73" ht="15">
      <c r="A221" s="59" t="s">
        <v>298</v>
      </c>
      <c r="B221" s="59" t="s">
        <v>318</v>
      </c>
      <c r="C221" s="60"/>
      <c r="D221" s="61"/>
      <c r="E221" s="62"/>
      <c r="F221" s="63"/>
      <c r="G221" s="60"/>
      <c r="H221" s="64"/>
      <c r="I221" s="65"/>
      <c r="J221" s="65"/>
      <c r="K221" s="30" t="s">
        <v>65</v>
      </c>
      <c r="L221" s="72">
        <v>221</v>
      </c>
      <c r="M2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1" s="67"/>
      <c r="O221" t="s">
        <v>482</v>
      </c>
      <c r="P221" s="73">
        <v>44573.11447916667</v>
      </c>
      <c r="Q221" t="s">
        <v>618</v>
      </c>
      <c r="R221">
        <v>0</v>
      </c>
      <c r="S221">
        <v>0</v>
      </c>
      <c r="T221">
        <v>0</v>
      </c>
      <c r="U221">
        <v>0</v>
      </c>
      <c r="W221" s="74" t="s">
        <v>682</v>
      </c>
      <c r="Z221" t="s">
        <v>318</v>
      </c>
      <c r="AC221" s="74" t="s">
        <v>787</v>
      </c>
      <c r="AD221" t="s">
        <v>794</v>
      </c>
      <c r="AE221" s="75" t="str">
        <f>HYPERLINK("https://twitter.com/hermin165/status/1481094794273525760")</f>
        <v>https://twitter.com/hermin165/status/1481094794273525760</v>
      </c>
      <c r="AF221" s="73">
        <v>44573.11447916667</v>
      </c>
      <c r="AG221" s="77">
        <v>44573</v>
      </c>
      <c r="AH221" s="74" t="s">
        <v>932</v>
      </c>
      <c r="AV221" s="75" t="str">
        <f>HYPERLINK("https://pbs.twimg.com/profile_images/1718130098682101760/x4AZLWQk_normal.jpg")</f>
        <v>https://pbs.twimg.com/profile_images/1718130098682101760/x4AZLWQk_normal.jpg</v>
      </c>
      <c r="AW221" s="74" t="s">
        <v>1153</v>
      </c>
      <c r="AX221" s="74" t="s">
        <v>1179</v>
      </c>
      <c r="AY221" s="74" t="s">
        <v>1334</v>
      </c>
      <c r="AZ221" s="74" t="s">
        <v>1179</v>
      </c>
      <c r="BA221" s="74" t="s">
        <v>1384</v>
      </c>
      <c r="BB221" s="74" t="s">
        <v>1384</v>
      </c>
      <c r="BC221" s="74" t="s">
        <v>1179</v>
      </c>
      <c r="BD221" s="74" t="s">
        <v>1454</v>
      </c>
      <c r="BJ221" s="44">
        <v>3</v>
      </c>
      <c r="BK221" s="45">
        <v>27.272727272727273</v>
      </c>
      <c r="BL221" s="44">
        <v>0</v>
      </c>
      <c r="BM221" s="45">
        <v>0</v>
      </c>
      <c r="BN221" s="44">
        <v>0</v>
      </c>
      <c r="BO221" s="45">
        <v>0</v>
      </c>
      <c r="BP221" s="44">
        <v>8</v>
      </c>
      <c r="BQ221" s="45">
        <v>72.72727272727273</v>
      </c>
      <c r="BR221" s="44">
        <v>11</v>
      </c>
      <c r="BS221">
        <v>1</v>
      </c>
      <c r="BT221" s="112" t="str">
        <f>REPLACE(INDEX(GroupVertices[Group],MATCH("~"&amp;Edges[[#This Row],[Vertex 1]],GroupVertices[Vertex],0)),1,1,"")</f>
        <v>9</v>
      </c>
      <c r="BU221" s="112" t="str">
        <f>REPLACE(INDEX(GroupVertices[Group],MATCH("~"&amp;Edges[[#This Row],[Vertex 2]],GroupVertices[Vertex],0)),1,1,"")</f>
        <v>9</v>
      </c>
    </row>
    <row r="222" spans="1:73" ht="15">
      <c r="A222" s="59" t="s">
        <v>299</v>
      </c>
      <c r="B222" s="59" t="s">
        <v>299</v>
      </c>
      <c r="C222" s="60"/>
      <c r="D222" s="61"/>
      <c r="E222" s="62"/>
      <c r="F222" s="63"/>
      <c r="G222" s="60"/>
      <c r="H222" s="64"/>
      <c r="I222" s="65"/>
      <c r="J222" s="65"/>
      <c r="K222" s="30" t="s">
        <v>65</v>
      </c>
      <c r="L222" s="72">
        <v>222</v>
      </c>
      <c r="M2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2" s="67"/>
      <c r="O222" t="s">
        <v>177</v>
      </c>
      <c r="P222" s="73">
        <v>44553.37466435185</v>
      </c>
      <c r="Q222" t="s">
        <v>619</v>
      </c>
      <c r="R222">
        <v>0</v>
      </c>
      <c r="S222">
        <v>2</v>
      </c>
      <c r="T222">
        <v>0</v>
      </c>
      <c r="U222">
        <v>0</v>
      </c>
      <c r="W222" s="74" t="s">
        <v>700</v>
      </c>
      <c r="AA222" t="s">
        <v>774</v>
      </c>
      <c r="AB222" t="s">
        <v>783</v>
      </c>
      <c r="AC222" s="74" t="s">
        <v>787</v>
      </c>
      <c r="AD222" t="s">
        <v>794</v>
      </c>
      <c r="AE222" s="75" t="str">
        <f>HYPERLINK("https://twitter.com/sys_cak/status/1473941328085934080")</f>
        <v>https://twitter.com/sys_cak/status/1473941328085934080</v>
      </c>
      <c r="AF222" s="73">
        <v>44553.37466435185</v>
      </c>
      <c r="AG222" s="77">
        <v>44553</v>
      </c>
      <c r="AH222" s="74" t="s">
        <v>933</v>
      </c>
      <c r="AI222" t="b">
        <v>0</v>
      </c>
      <c r="AQ222" t="s">
        <v>1012</v>
      </c>
      <c r="AV222" s="75" t="str">
        <f>HYPERLINK("https://pbs.twimg.com/media/FHR90l_UYAAak-a.jpg")</f>
        <v>https://pbs.twimg.com/media/FHR90l_UYAAak-a.jpg</v>
      </c>
      <c r="AW222" s="74" t="s">
        <v>1154</v>
      </c>
      <c r="AX222" s="74" t="s">
        <v>1154</v>
      </c>
      <c r="AZ222" s="74" t="s">
        <v>1384</v>
      </c>
      <c r="BA222" s="74" t="s">
        <v>1384</v>
      </c>
      <c r="BB222" s="74" t="s">
        <v>1384</v>
      </c>
      <c r="BC222" s="74" t="s">
        <v>1154</v>
      </c>
      <c r="BD222" s="74" t="s">
        <v>1455</v>
      </c>
      <c r="BJ222" s="44">
        <v>1</v>
      </c>
      <c r="BK222" s="45">
        <v>7.6923076923076925</v>
      </c>
      <c r="BL222" s="44">
        <v>0</v>
      </c>
      <c r="BM222" s="45">
        <v>0</v>
      </c>
      <c r="BN222" s="44">
        <v>0</v>
      </c>
      <c r="BO222" s="45">
        <v>0</v>
      </c>
      <c r="BP222" s="44">
        <v>12</v>
      </c>
      <c r="BQ222" s="45">
        <v>92.3076923076923</v>
      </c>
      <c r="BR222" s="44">
        <v>13</v>
      </c>
      <c r="BS222">
        <v>1</v>
      </c>
      <c r="BT222" s="112" t="str">
        <f>REPLACE(INDEX(GroupVertices[Group],MATCH("~"&amp;Edges[[#This Row],[Vertex 1]],GroupVertices[Vertex],0)),1,1,"")</f>
        <v>3</v>
      </c>
      <c r="BU222" s="112" t="str">
        <f>REPLACE(INDEX(GroupVertices[Group],MATCH("~"&amp;Edges[[#This Row],[Vertex 2]],GroupVertices[Vertex],0)),1,1,"")</f>
        <v>3</v>
      </c>
    </row>
    <row r="223" spans="1:73" ht="15">
      <c r="A223" s="59" t="s">
        <v>300</v>
      </c>
      <c r="B223" s="59" t="s">
        <v>300</v>
      </c>
      <c r="C223" s="60"/>
      <c r="D223" s="61"/>
      <c r="E223" s="62"/>
      <c r="F223" s="63"/>
      <c r="G223" s="60"/>
      <c r="H223" s="64"/>
      <c r="I223" s="65"/>
      <c r="J223" s="65"/>
      <c r="K223" s="30" t="s">
        <v>65</v>
      </c>
      <c r="L223" s="72">
        <v>223</v>
      </c>
      <c r="M2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3" s="67"/>
      <c r="O223" t="s">
        <v>177</v>
      </c>
      <c r="P223" s="73">
        <v>44575.068020833336</v>
      </c>
      <c r="Q223" t="s">
        <v>620</v>
      </c>
      <c r="R223">
        <v>0</v>
      </c>
      <c r="S223">
        <v>1</v>
      </c>
      <c r="T223">
        <v>0</v>
      </c>
      <c r="U223">
        <v>0</v>
      </c>
      <c r="W223" s="74" t="s">
        <v>682</v>
      </c>
      <c r="AA223" t="s">
        <v>775</v>
      </c>
      <c r="AB223" t="s">
        <v>784</v>
      </c>
      <c r="AC223" s="74" t="s">
        <v>787</v>
      </c>
      <c r="AD223" t="s">
        <v>794</v>
      </c>
      <c r="AE223" s="75" t="str">
        <f>HYPERLINK("https://twitter.com/livia_elly/status/1481802736819929091")</f>
        <v>https://twitter.com/livia_elly/status/1481802736819929091</v>
      </c>
      <c r="AF223" s="73">
        <v>44575.068020833336</v>
      </c>
      <c r="AG223" s="77">
        <v>44575</v>
      </c>
      <c r="AH223" s="74" t="s">
        <v>934</v>
      </c>
      <c r="AI223" t="b">
        <v>0</v>
      </c>
      <c r="AQ223" t="s">
        <v>1013</v>
      </c>
      <c r="AR223">
        <v>139978</v>
      </c>
      <c r="AV223" s="75" t="str">
        <f>HYPERLINK("https://pbs.twimg.com/ext_tw_video_thumb/1481802070365999105/pu/img/PhJQoDB0XdrjGeF7.jpg")</f>
        <v>https://pbs.twimg.com/ext_tw_video_thumb/1481802070365999105/pu/img/PhJQoDB0XdrjGeF7.jpg</v>
      </c>
      <c r="AW223" s="74" t="s">
        <v>1155</v>
      </c>
      <c r="AX223" s="74" t="s">
        <v>1155</v>
      </c>
      <c r="AZ223" s="74" t="s">
        <v>1384</v>
      </c>
      <c r="BA223" s="74" t="s">
        <v>1384</v>
      </c>
      <c r="BB223" s="74" t="s">
        <v>1384</v>
      </c>
      <c r="BC223" s="74" t="s">
        <v>1155</v>
      </c>
      <c r="BD223" s="74" t="s">
        <v>1456</v>
      </c>
      <c r="BJ223" s="44">
        <v>3</v>
      </c>
      <c r="BK223" s="45">
        <v>75</v>
      </c>
      <c r="BL223" s="44">
        <v>0</v>
      </c>
      <c r="BM223" s="45">
        <v>0</v>
      </c>
      <c r="BN223" s="44">
        <v>0</v>
      </c>
      <c r="BO223" s="45">
        <v>0</v>
      </c>
      <c r="BP223" s="44">
        <v>1</v>
      </c>
      <c r="BQ223" s="45">
        <v>25</v>
      </c>
      <c r="BR223" s="44">
        <v>4</v>
      </c>
      <c r="BS223">
        <v>1</v>
      </c>
      <c r="BT223" s="112" t="str">
        <f>REPLACE(INDEX(GroupVertices[Group],MATCH("~"&amp;Edges[[#This Row],[Vertex 1]],GroupVertices[Vertex],0)),1,1,"")</f>
        <v>3</v>
      </c>
      <c r="BU223" s="112" t="str">
        <f>REPLACE(INDEX(GroupVertices[Group],MATCH("~"&amp;Edges[[#This Row],[Vertex 2]],GroupVertices[Vertex],0)),1,1,"")</f>
        <v>3</v>
      </c>
    </row>
    <row r="224" spans="1:73" ht="15">
      <c r="A224" s="59" t="s">
        <v>301</v>
      </c>
      <c r="B224" s="59" t="s">
        <v>318</v>
      </c>
      <c r="C224" s="60"/>
      <c r="D224" s="61"/>
      <c r="E224" s="62"/>
      <c r="F224" s="63"/>
      <c r="G224" s="60"/>
      <c r="H224" s="64"/>
      <c r="I224" s="65"/>
      <c r="J224" s="65"/>
      <c r="K224" s="30" t="s">
        <v>65</v>
      </c>
      <c r="L224" s="72">
        <v>224</v>
      </c>
      <c r="M2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4" s="67"/>
      <c r="O224" t="s">
        <v>482</v>
      </c>
      <c r="P224" s="73">
        <v>44574.37425925926</v>
      </c>
      <c r="Q224" t="s">
        <v>621</v>
      </c>
      <c r="R224">
        <v>0</v>
      </c>
      <c r="S224">
        <v>0</v>
      </c>
      <c r="T224">
        <v>0</v>
      </c>
      <c r="U224">
        <v>0</v>
      </c>
      <c r="W224" s="74" t="s">
        <v>684</v>
      </c>
      <c r="Z224" t="s">
        <v>318</v>
      </c>
      <c r="AC224" s="74" t="s">
        <v>787</v>
      </c>
      <c r="AD224" t="s">
        <v>798</v>
      </c>
      <c r="AE224" s="75" t="str">
        <f>HYPERLINK("https://twitter.com/heindrahayyun1/status/1481551323418214403")</f>
        <v>https://twitter.com/heindrahayyun1/status/1481551323418214403</v>
      </c>
      <c r="AF224" s="73">
        <v>44574.37425925926</v>
      </c>
      <c r="AG224" s="77">
        <v>44574</v>
      </c>
      <c r="AH224" s="74" t="s">
        <v>935</v>
      </c>
      <c r="AV224" s="75" t="str">
        <f>HYPERLINK("https://pbs.twimg.com/profile_images/1536574414384312322/CnguST2y_normal.jpg")</f>
        <v>https://pbs.twimg.com/profile_images/1536574414384312322/CnguST2y_normal.jpg</v>
      </c>
      <c r="AW224" s="74" t="s">
        <v>1156</v>
      </c>
      <c r="AX224" s="74" t="s">
        <v>1179</v>
      </c>
      <c r="AY224" s="74" t="s">
        <v>1334</v>
      </c>
      <c r="AZ224" s="74" t="s">
        <v>1179</v>
      </c>
      <c r="BA224" s="74" t="s">
        <v>1384</v>
      </c>
      <c r="BB224" s="74" t="s">
        <v>1384</v>
      </c>
      <c r="BC224" s="74" t="s">
        <v>1179</v>
      </c>
      <c r="BD224" s="74" t="s">
        <v>1457</v>
      </c>
      <c r="BJ224" s="44">
        <v>0</v>
      </c>
      <c r="BK224" s="45">
        <v>0</v>
      </c>
      <c r="BL224" s="44">
        <v>0</v>
      </c>
      <c r="BM224" s="45">
        <v>0</v>
      </c>
      <c r="BN224" s="44">
        <v>0</v>
      </c>
      <c r="BO224" s="45">
        <v>0</v>
      </c>
      <c r="BP224" s="44">
        <v>3</v>
      </c>
      <c r="BQ224" s="45">
        <v>100</v>
      </c>
      <c r="BR224" s="44">
        <v>3</v>
      </c>
      <c r="BS224">
        <v>1</v>
      </c>
      <c r="BT224" s="112" t="str">
        <f>REPLACE(INDEX(GroupVertices[Group],MATCH("~"&amp;Edges[[#This Row],[Vertex 1]],GroupVertices[Vertex],0)),1,1,"")</f>
        <v>9</v>
      </c>
      <c r="BU224" s="112" t="str">
        <f>REPLACE(INDEX(GroupVertices[Group],MATCH("~"&amp;Edges[[#This Row],[Vertex 2]],GroupVertices[Vertex],0)),1,1,"")</f>
        <v>9</v>
      </c>
    </row>
    <row r="225" spans="1:73" ht="15">
      <c r="A225" s="59" t="s">
        <v>302</v>
      </c>
      <c r="B225" s="59" t="s">
        <v>341</v>
      </c>
      <c r="C225" s="60"/>
      <c r="D225" s="61"/>
      <c r="E225" s="62"/>
      <c r="F225" s="63"/>
      <c r="G225" s="60"/>
      <c r="H225" s="64"/>
      <c r="I225" s="65"/>
      <c r="J225" s="65"/>
      <c r="K225" s="30" t="s">
        <v>65</v>
      </c>
      <c r="L225" s="72">
        <v>225</v>
      </c>
      <c r="M2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5" s="67"/>
      <c r="O225" t="s">
        <v>482</v>
      </c>
      <c r="P225" s="73">
        <v>44572.51814814815</v>
      </c>
      <c r="Q225" t="s">
        <v>622</v>
      </c>
      <c r="R225">
        <v>0</v>
      </c>
      <c r="S225">
        <v>2</v>
      </c>
      <c r="T225">
        <v>0</v>
      </c>
      <c r="U225">
        <v>0</v>
      </c>
      <c r="W225" s="74" t="s">
        <v>682</v>
      </c>
      <c r="Z225" t="s">
        <v>341</v>
      </c>
      <c r="AC225" s="74" t="s">
        <v>787</v>
      </c>
      <c r="AD225" t="s">
        <v>794</v>
      </c>
      <c r="AE225" s="75" t="str">
        <f>HYPERLINK("https://twitter.com/mr_arogan_/status/1480878694906281987")</f>
        <v>https://twitter.com/mr_arogan_/status/1480878694906281987</v>
      </c>
      <c r="AF225" s="73">
        <v>44572.51814814815</v>
      </c>
      <c r="AG225" s="77">
        <v>44572</v>
      </c>
      <c r="AH225" s="74" t="s">
        <v>936</v>
      </c>
      <c r="AV225" s="75" t="str">
        <f>HYPERLINK("https://pbs.twimg.com/profile_images/1721856157793546240/V5-hrh7i_normal.jpg")</f>
        <v>https://pbs.twimg.com/profile_images/1721856157793546240/V5-hrh7i_normal.jpg</v>
      </c>
      <c r="AW225" s="74" t="s">
        <v>1157</v>
      </c>
      <c r="AX225" s="74" t="s">
        <v>1242</v>
      </c>
      <c r="AY225" s="74" t="s">
        <v>1328</v>
      </c>
      <c r="AZ225" s="74" t="s">
        <v>1242</v>
      </c>
      <c r="BA225" s="74" t="s">
        <v>1384</v>
      </c>
      <c r="BB225" s="74" t="s">
        <v>1384</v>
      </c>
      <c r="BC225" s="74" t="s">
        <v>1242</v>
      </c>
      <c r="BD225" s="74" t="s">
        <v>1458</v>
      </c>
      <c r="BJ225" s="44">
        <v>5</v>
      </c>
      <c r="BK225" s="45">
        <v>17.24137931034483</v>
      </c>
      <c r="BL225" s="44">
        <v>0</v>
      </c>
      <c r="BM225" s="45">
        <v>0</v>
      </c>
      <c r="BN225" s="44">
        <v>0</v>
      </c>
      <c r="BO225" s="45">
        <v>0</v>
      </c>
      <c r="BP225" s="44">
        <v>24</v>
      </c>
      <c r="BQ225" s="45">
        <v>82.75862068965517</v>
      </c>
      <c r="BR225" s="44">
        <v>29</v>
      </c>
      <c r="BS225">
        <v>1</v>
      </c>
      <c r="BT225" s="112" t="str">
        <f>REPLACE(INDEX(GroupVertices[Group],MATCH("~"&amp;Edges[[#This Row],[Vertex 1]],GroupVertices[Vertex],0)),1,1,"")</f>
        <v>6</v>
      </c>
      <c r="BU225" s="112" t="str">
        <f>REPLACE(INDEX(GroupVertices[Group],MATCH("~"&amp;Edges[[#This Row],[Vertex 2]],GroupVertices[Vertex],0)),1,1,"")</f>
        <v>6</v>
      </c>
    </row>
    <row r="226" spans="1:73" ht="15">
      <c r="A226" s="59" t="s">
        <v>303</v>
      </c>
      <c r="B226" s="59" t="s">
        <v>268</v>
      </c>
      <c r="C226" s="60"/>
      <c r="D226" s="61"/>
      <c r="E226" s="62"/>
      <c r="F226" s="63"/>
      <c r="G226" s="60"/>
      <c r="H226" s="64"/>
      <c r="I226" s="65"/>
      <c r="J226" s="65"/>
      <c r="K226" s="30" t="s">
        <v>65</v>
      </c>
      <c r="L226" s="72">
        <v>226</v>
      </c>
      <c r="M2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6" s="67"/>
      <c r="O226" t="s">
        <v>484</v>
      </c>
      <c r="P226" s="73">
        <v>44995.35592592593</v>
      </c>
      <c r="Q226" t="s">
        <v>623</v>
      </c>
      <c r="R226">
        <v>0</v>
      </c>
      <c r="S226">
        <v>1</v>
      </c>
      <c r="T226">
        <v>0</v>
      </c>
      <c r="U226">
        <v>0</v>
      </c>
      <c r="V226">
        <v>26</v>
      </c>
      <c r="AC226" s="74" t="s">
        <v>787</v>
      </c>
      <c r="AD226" t="s">
        <v>794</v>
      </c>
      <c r="AE226" s="75" t="str">
        <f>HYPERLINK("https://twitter.com/masyarakat2021/status/1634109971133792256")</f>
        <v>https://twitter.com/masyarakat2021/status/1634109971133792256</v>
      </c>
      <c r="AF226" s="73">
        <v>44995.35592592593</v>
      </c>
      <c r="AG226" s="77">
        <v>44995</v>
      </c>
      <c r="AH226" s="74" t="s">
        <v>937</v>
      </c>
      <c r="AV226" s="75" t="str">
        <f>HYPERLINK("https://pbs.twimg.com/profile_images/1344974135525478400/AAKdYcGp_normal.jpg")</f>
        <v>https://pbs.twimg.com/profile_images/1344974135525478400/AAKdYcGp_normal.jpg</v>
      </c>
      <c r="AW226" s="74" t="s">
        <v>1158</v>
      </c>
      <c r="AX226" s="74" t="s">
        <v>1158</v>
      </c>
      <c r="AZ226" s="74" t="s">
        <v>1384</v>
      </c>
      <c r="BA226" s="74" t="s">
        <v>1168</v>
      </c>
      <c r="BB226" s="74" t="s">
        <v>1384</v>
      </c>
      <c r="BC226" s="74" t="s">
        <v>1168</v>
      </c>
      <c r="BD226" s="74" t="s">
        <v>1459</v>
      </c>
      <c r="BJ226" s="44">
        <v>3</v>
      </c>
      <c r="BK226" s="45">
        <v>100</v>
      </c>
      <c r="BL226" s="44">
        <v>0</v>
      </c>
      <c r="BM226" s="45">
        <v>0</v>
      </c>
      <c r="BN226" s="44">
        <v>0</v>
      </c>
      <c r="BO226" s="45">
        <v>0</v>
      </c>
      <c r="BP226" s="44">
        <v>0</v>
      </c>
      <c r="BQ226" s="45">
        <v>0</v>
      </c>
      <c r="BR226" s="44">
        <v>3</v>
      </c>
      <c r="BS226">
        <v>1</v>
      </c>
      <c r="BT226" s="112" t="str">
        <f>REPLACE(INDEX(GroupVertices[Group],MATCH("~"&amp;Edges[[#This Row],[Vertex 1]],GroupVertices[Vertex],0)),1,1,"")</f>
        <v>13</v>
      </c>
      <c r="BU226" s="112" t="str">
        <f>REPLACE(INDEX(GroupVertices[Group],MATCH("~"&amp;Edges[[#This Row],[Vertex 2]],GroupVertices[Vertex],0)),1,1,"")</f>
        <v>13</v>
      </c>
    </row>
    <row r="227" spans="1:73" ht="15">
      <c r="A227" s="59" t="s">
        <v>304</v>
      </c>
      <c r="B227" s="59" t="s">
        <v>318</v>
      </c>
      <c r="C227" s="60"/>
      <c r="D227" s="61"/>
      <c r="E227" s="62"/>
      <c r="F227" s="63"/>
      <c r="G227" s="60"/>
      <c r="H227" s="64"/>
      <c r="I227" s="65"/>
      <c r="J227" s="65"/>
      <c r="K227" s="30" t="s">
        <v>65</v>
      </c>
      <c r="L227" s="72">
        <v>227</v>
      </c>
      <c r="M2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7" s="67"/>
      <c r="O227" t="s">
        <v>482</v>
      </c>
      <c r="P227" s="73">
        <v>44573.10020833334</v>
      </c>
      <c r="Q227" t="s">
        <v>624</v>
      </c>
      <c r="R227">
        <v>0</v>
      </c>
      <c r="S227">
        <v>1</v>
      </c>
      <c r="T227">
        <v>0</v>
      </c>
      <c r="U227">
        <v>0</v>
      </c>
      <c r="W227" s="74" t="s">
        <v>682</v>
      </c>
      <c r="Z227" t="s">
        <v>318</v>
      </c>
      <c r="AC227" s="74" t="s">
        <v>787</v>
      </c>
      <c r="AD227" t="s">
        <v>794</v>
      </c>
      <c r="AE227" s="75" t="str">
        <f>HYPERLINK("https://twitter.com/mdariusdah/status/1481089622889611264")</f>
        <v>https://twitter.com/mdariusdah/status/1481089622889611264</v>
      </c>
      <c r="AF227" s="73">
        <v>44573.10020833334</v>
      </c>
      <c r="AG227" s="77">
        <v>44573</v>
      </c>
      <c r="AH227" s="74" t="s">
        <v>938</v>
      </c>
      <c r="AV227" s="75" t="str">
        <f>HYPERLINK("https://pbs.twimg.com/profile_images/1541233536983638016/LYPDbJJW_normal.jpg")</f>
        <v>https://pbs.twimg.com/profile_images/1541233536983638016/LYPDbJJW_normal.jpg</v>
      </c>
      <c r="AW227" s="74" t="s">
        <v>1159</v>
      </c>
      <c r="AX227" s="74" t="s">
        <v>1179</v>
      </c>
      <c r="AY227" s="74" t="s">
        <v>1334</v>
      </c>
      <c r="AZ227" s="74" t="s">
        <v>1179</v>
      </c>
      <c r="BA227" s="74" t="s">
        <v>1384</v>
      </c>
      <c r="BB227" s="74" t="s">
        <v>1384</v>
      </c>
      <c r="BC227" s="74" t="s">
        <v>1179</v>
      </c>
      <c r="BD227" s="74" t="s">
        <v>1460</v>
      </c>
      <c r="BJ227" s="44">
        <v>0</v>
      </c>
      <c r="BK227" s="45">
        <v>0</v>
      </c>
      <c r="BL227" s="44">
        <v>0</v>
      </c>
      <c r="BM227" s="45">
        <v>0</v>
      </c>
      <c r="BN227" s="44">
        <v>0</v>
      </c>
      <c r="BO227" s="45">
        <v>0</v>
      </c>
      <c r="BP227" s="44">
        <v>5</v>
      </c>
      <c r="BQ227" s="45">
        <v>100</v>
      </c>
      <c r="BR227" s="44">
        <v>5</v>
      </c>
      <c r="BS227">
        <v>1</v>
      </c>
      <c r="BT227" s="112" t="str">
        <f>REPLACE(INDEX(GroupVertices[Group],MATCH("~"&amp;Edges[[#This Row],[Vertex 1]],GroupVertices[Vertex],0)),1,1,"")</f>
        <v>9</v>
      </c>
      <c r="BU227" s="112" t="str">
        <f>REPLACE(INDEX(GroupVertices[Group],MATCH("~"&amp;Edges[[#This Row],[Vertex 2]],GroupVertices[Vertex],0)),1,1,"")</f>
        <v>9</v>
      </c>
    </row>
    <row r="228" spans="1:73" ht="15">
      <c r="A228" s="59" t="s">
        <v>305</v>
      </c>
      <c r="B228" s="59" t="s">
        <v>305</v>
      </c>
      <c r="C228" s="60"/>
      <c r="D228" s="61"/>
      <c r="E228" s="62"/>
      <c r="F228" s="63"/>
      <c r="G228" s="60"/>
      <c r="H228" s="64"/>
      <c r="I228" s="65"/>
      <c r="J228" s="65"/>
      <c r="K228" s="30" t="s">
        <v>65</v>
      </c>
      <c r="L228" s="72">
        <v>228</v>
      </c>
      <c r="M2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8" s="67"/>
      <c r="O228" t="s">
        <v>177</v>
      </c>
      <c r="P228" s="73">
        <v>44881.46880787037</v>
      </c>
      <c r="Q228" t="s">
        <v>625</v>
      </c>
      <c r="R228">
        <v>6</v>
      </c>
      <c r="S228">
        <v>34</v>
      </c>
      <c r="T228">
        <v>3</v>
      </c>
      <c r="U228">
        <v>2</v>
      </c>
      <c r="X228" s="75" t="str">
        <f>HYPERLINK("http://dlvr.it/ScsHSc")</f>
        <v>http://dlvr.it/ScsHSc</v>
      </c>
      <c r="Y228" t="s">
        <v>710</v>
      </c>
      <c r="AA228" t="s">
        <v>776</v>
      </c>
      <c r="AB228" t="s">
        <v>783</v>
      </c>
      <c r="AC228" s="74" t="s">
        <v>710</v>
      </c>
      <c r="AD228" t="s">
        <v>794</v>
      </c>
      <c r="AE228" s="75" t="str">
        <f>HYPERLINK("https://twitter.com/news_jubi/status/1592838663347769344")</f>
        <v>https://twitter.com/news_jubi/status/1592838663347769344</v>
      </c>
      <c r="AF228" s="73">
        <v>44881.46880787037</v>
      </c>
      <c r="AG228" s="77">
        <v>44881</v>
      </c>
      <c r="AH228" s="74" t="s">
        <v>939</v>
      </c>
      <c r="AI228" t="b">
        <v>0</v>
      </c>
      <c r="AQ228" t="s">
        <v>1014</v>
      </c>
      <c r="AV228" s="75" t="str">
        <f>HYPERLINK("https://pbs.twimg.com/media/FhrmUkaaUAAbsi8.jpg")</f>
        <v>https://pbs.twimg.com/media/FhrmUkaaUAAbsi8.jpg</v>
      </c>
      <c r="AW228" s="74" t="s">
        <v>1160</v>
      </c>
      <c r="AX228" s="74" t="s">
        <v>1160</v>
      </c>
      <c r="AZ228" s="74" t="s">
        <v>1384</v>
      </c>
      <c r="BA228" s="74" t="s">
        <v>1384</v>
      </c>
      <c r="BB228" s="74" t="s">
        <v>1384</v>
      </c>
      <c r="BC228" s="74" t="s">
        <v>1160</v>
      </c>
      <c r="BD228">
        <v>1023114824</v>
      </c>
      <c r="BJ228" s="44">
        <v>0</v>
      </c>
      <c r="BK228" s="45">
        <v>0</v>
      </c>
      <c r="BL228" s="44">
        <v>0</v>
      </c>
      <c r="BM228" s="45">
        <v>0</v>
      </c>
      <c r="BN228" s="44">
        <v>0</v>
      </c>
      <c r="BO228" s="45">
        <v>0</v>
      </c>
      <c r="BP228" s="44">
        <v>14</v>
      </c>
      <c r="BQ228" s="45">
        <v>100</v>
      </c>
      <c r="BR228" s="44">
        <v>14</v>
      </c>
      <c r="BS228">
        <v>1</v>
      </c>
      <c r="BT228" s="112" t="str">
        <f>REPLACE(INDEX(GroupVertices[Group],MATCH("~"&amp;Edges[[#This Row],[Vertex 1]],GroupVertices[Vertex],0)),1,1,"")</f>
        <v>40</v>
      </c>
      <c r="BU228" s="112" t="str">
        <f>REPLACE(INDEX(GroupVertices[Group],MATCH("~"&amp;Edges[[#This Row],[Vertex 2]],GroupVertices[Vertex],0)),1,1,"")</f>
        <v>40</v>
      </c>
    </row>
    <row r="229" spans="1:73" ht="15">
      <c r="A229" s="59" t="s">
        <v>306</v>
      </c>
      <c r="B229" s="59" t="s">
        <v>305</v>
      </c>
      <c r="C229" s="60"/>
      <c r="D229" s="61"/>
      <c r="E229" s="62"/>
      <c r="F229" s="63"/>
      <c r="G229" s="60"/>
      <c r="H229" s="64"/>
      <c r="I229" s="65"/>
      <c r="J229" s="65"/>
      <c r="K229" s="30" t="s">
        <v>65</v>
      </c>
      <c r="L229" s="72">
        <v>229</v>
      </c>
      <c r="M2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9" s="67"/>
      <c r="O229" t="s">
        <v>484</v>
      </c>
      <c r="P229" s="73">
        <v>44881.67859953704</v>
      </c>
      <c r="Q229" t="s">
        <v>626</v>
      </c>
      <c r="R229">
        <v>0</v>
      </c>
      <c r="S229">
        <v>0</v>
      </c>
      <c r="T229">
        <v>0</v>
      </c>
      <c r="U229">
        <v>0</v>
      </c>
      <c r="AC229" s="74" t="s">
        <v>787</v>
      </c>
      <c r="AD229" t="s">
        <v>794</v>
      </c>
      <c r="AE229" s="75" t="str">
        <f>HYPERLINK("https://twitter.com/rudyhar51284265/status/1592914689058799616")</f>
        <v>https://twitter.com/rudyhar51284265/status/1592914689058799616</v>
      </c>
      <c r="AF229" s="73">
        <v>44881.67859953704</v>
      </c>
      <c r="AG229" s="77">
        <v>44881</v>
      </c>
      <c r="AH229" s="74" t="s">
        <v>940</v>
      </c>
      <c r="AV229" s="75" t="str">
        <f>HYPERLINK("https://pbs.twimg.com/profile_images/1569689395531481089/461iSbn1_normal.jpg")</f>
        <v>https://pbs.twimg.com/profile_images/1569689395531481089/461iSbn1_normal.jpg</v>
      </c>
      <c r="AW229" s="74" t="s">
        <v>1161</v>
      </c>
      <c r="AX229" s="74" t="s">
        <v>1161</v>
      </c>
      <c r="AZ229" s="74" t="s">
        <v>1384</v>
      </c>
      <c r="BA229" s="74" t="s">
        <v>1160</v>
      </c>
      <c r="BB229" s="74" t="s">
        <v>1384</v>
      </c>
      <c r="BC229" s="74" t="s">
        <v>1160</v>
      </c>
      <c r="BD229" s="74" t="s">
        <v>1461</v>
      </c>
      <c r="BJ229" s="44">
        <v>7</v>
      </c>
      <c r="BK229" s="45">
        <v>18.42105263157895</v>
      </c>
      <c r="BL229" s="44">
        <v>0</v>
      </c>
      <c r="BM229" s="45">
        <v>0</v>
      </c>
      <c r="BN229" s="44">
        <v>0</v>
      </c>
      <c r="BO229" s="45">
        <v>0</v>
      </c>
      <c r="BP229" s="44">
        <v>31</v>
      </c>
      <c r="BQ229" s="45">
        <v>81.57894736842105</v>
      </c>
      <c r="BR229" s="44">
        <v>38</v>
      </c>
      <c r="BS229">
        <v>1</v>
      </c>
      <c r="BT229" s="112" t="str">
        <f>REPLACE(INDEX(GroupVertices[Group],MATCH("~"&amp;Edges[[#This Row],[Vertex 1]],GroupVertices[Vertex],0)),1,1,"")</f>
        <v>40</v>
      </c>
      <c r="BU229" s="112" t="str">
        <f>REPLACE(INDEX(GroupVertices[Group],MATCH("~"&amp;Edges[[#This Row],[Vertex 2]],GroupVertices[Vertex],0)),1,1,"")</f>
        <v>40</v>
      </c>
    </row>
    <row r="230" spans="1:73" ht="15">
      <c r="A230" s="59" t="s">
        <v>307</v>
      </c>
      <c r="B230" s="59" t="s">
        <v>467</v>
      </c>
      <c r="C230" s="60"/>
      <c r="D230" s="61"/>
      <c r="E230" s="62"/>
      <c r="F230" s="63"/>
      <c r="G230" s="60"/>
      <c r="H230" s="64"/>
      <c r="I230" s="65"/>
      <c r="J230" s="65"/>
      <c r="K230" s="30" t="s">
        <v>65</v>
      </c>
      <c r="L230" s="72">
        <v>230</v>
      </c>
      <c r="M2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0" s="67"/>
      <c r="O230" t="s">
        <v>482</v>
      </c>
      <c r="P230" s="73">
        <v>44562.64443287037</v>
      </c>
      <c r="Q230" t="s">
        <v>627</v>
      </c>
      <c r="R230">
        <v>0</v>
      </c>
      <c r="S230">
        <v>0</v>
      </c>
      <c r="T230">
        <v>0</v>
      </c>
      <c r="U230">
        <v>0</v>
      </c>
      <c r="Z230" t="s">
        <v>467</v>
      </c>
      <c r="AC230" s="74" t="s">
        <v>787</v>
      </c>
      <c r="AD230" t="s">
        <v>799</v>
      </c>
      <c r="AE230" s="75" t="str">
        <f>HYPERLINK("https://twitter.com/yparkjihoon/status/1477300579139395584")</f>
        <v>https://twitter.com/yparkjihoon/status/1477300579139395584</v>
      </c>
      <c r="AF230" s="73">
        <v>44562.64443287037</v>
      </c>
      <c r="AG230" s="77">
        <v>44562</v>
      </c>
      <c r="AH230" s="74" t="s">
        <v>941</v>
      </c>
      <c r="AV230" s="75" t="str">
        <f>HYPERLINK("https://pbs.twimg.com/profile_images/1542792321523015680/WzFNeRy2_normal.jpg")</f>
        <v>https://pbs.twimg.com/profile_images/1542792321523015680/WzFNeRy2_normal.jpg</v>
      </c>
      <c r="AW230" s="74" t="s">
        <v>1162</v>
      </c>
      <c r="AX230" s="74" t="s">
        <v>1305</v>
      </c>
      <c r="AY230" s="74" t="s">
        <v>1377</v>
      </c>
      <c r="AZ230" s="74" t="s">
        <v>1305</v>
      </c>
      <c r="BA230" s="74" t="s">
        <v>1384</v>
      </c>
      <c r="BB230" s="74" t="s">
        <v>1384</v>
      </c>
      <c r="BC230" s="74" t="s">
        <v>1305</v>
      </c>
      <c r="BD230" s="74" t="s">
        <v>1462</v>
      </c>
      <c r="BJ230" s="44">
        <v>3</v>
      </c>
      <c r="BK230" s="45">
        <v>50</v>
      </c>
      <c r="BL230" s="44">
        <v>0</v>
      </c>
      <c r="BM230" s="45">
        <v>0</v>
      </c>
      <c r="BN230" s="44">
        <v>0</v>
      </c>
      <c r="BO230" s="45">
        <v>0</v>
      </c>
      <c r="BP230" s="44">
        <v>3</v>
      </c>
      <c r="BQ230" s="45">
        <v>50</v>
      </c>
      <c r="BR230" s="44">
        <v>6</v>
      </c>
      <c r="BS230">
        <v>1</v>
      </c>
      <c r="BT230" s="112" t="str">
        <f>REPLACE(INDEX(GroupVertices[Group],MATCH("~"&amp;Edges[[#This Row],[Vertex 1]],GroupVertices[Vertex],0)),1,1,"")</f>
        <v>31</v>
      </c>
      <c r="BU230" s="112" t="str">
        <f>REPLACE(INDEX(GroupVertices[Group],MATCH("~"&amp;Edges[[#This Row],[Vertex 2]],GroupVertices[Vertex],0)),1,1,"")</f>
        <v>31</v>
      </c>
    </row>
    <row r="231" spans="1:73" ht="15">
      <c r="A231" s="59" t="s">
        <v>308</v>
      </c>
      <c r="B231" s="59" t="s">
        <v>468</v>
      </c>
      <c r="C231" s="60"/>
      <c r="D231" s="61"/>
      <c r="E231" s="62"/>
      <c r="F231" s="63"/>
      <c r="G231" s="60"/>
      <c r="H231" s="64"/>
      <c r="I231" s="65"/>
      <c r="J231" s="65"/>
      <c r="K231" s="30" t="s">
        <v>65</v>
      </c>
      <c r="L231" s="72">
        <v>231</v>
      </c>
      <c r="M2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1" s="67"/>
      <c r="O231" t="s">
        <v>482</v>
      </c>
      <c r="P231" s="73">
        <v>45087.967256944445</v>
      </c>
      <c r="Q231" t="s">
        <v>628</v>
      </c>
      <c r="R231">
        <v>0</v>
      </c>
      <c r="S231">
        <v>1</v>
      </c>
      <c r="T231">
        <v>1</v>
      </c>
      <c r="U231">
        <v>0</v>
      </c>
      <c r="V231">
        <v>16</v>
      </c>
      <c r="W231" s="74" t="s">
        <v>682</v>
      </c>
      <c r="Z231" t="s">
        <v>468</v>
      </c>
      <c r="AC231" s="74" t="s">
        <v>787</v>
      </c>
      <c r="AD231" t="s">
        <v>794</v>
      </c>
      <c r="AE231" s="75" t="str">
        <f>HYPERLINK("https://twitter.com/rahmaniarbaftim/status/1667671195565838338")</f>
        <v>https://twitter.com/rahmaniarbaftim/status/1667671195565838338</v>
      </c>
      <c r="AF231" s="73">
        <v>45087.967256944445</v>
      </c>
      <c r="AG231" s="77">
        <v>45087</v>
      </c>
      <c r="AH231" s="74" t="s">
        <v>942</v>
      </c>
      <c r="AV231" s="75" t="str">
        <f>HYPERLINK("https://pbs.twimg.com/profile_images/1718760004688416768/hT2eS6-3_normal.jpg")</f>
        <v>https://pbs.twimg.com/profile_images/1718760004688416768/hT2eS6-3_normal.jpg</v>
      </c>
      <c r="AW231" s="74" t="s">
        <v>1163</v>
      </c>
      <c r="AX231" s="74" t="s">
        <v>1306</v>
      </c>
      <c r="AY231" s="74" t="s">
        <v>1378</v>
      </c>
      <c r="AZ231" s="74" t="s">
        <v>1306</v>
      </c>
      <c r="BA231" s="74" t="s">
        <v>1384</v>
      </c>
      <c r="BB231" s="74" t="s">
        <v>1384</v>
      </c>
      <c r="BC231" s="74" t="s">
        <v>1306</v>
      </c>
      <c r="BD231">
        <v>852327811</v>
      </c>
      <c r="BJ231" s="44">
        <v>1</v>
      </c>
      <c r="BK231" s="45">
        <v>4.3478260869565215</v>
      </c>
      <c r="BL231" s="44">
        <v>0</v>
      </c>
      <c r="BM231" s="45">
        <v>0</v>
      </c>
      <c r="BN231" s="44">
        <v>0</v>
      </c>
      <c r="BO231" s="45">
        <v>0</v>
      </c>
      <c r="BP231" s="44">
        <v>22</v>
      </c>
      <c r="BQ231" s="45">
        <v>95.65217391304348</v>
      </c>
      <c r="BR231" s="44">
        <v>23</v>
      </c>
      <c r="BS231">
        <v>1</v>
      </c>
      <c r="BT231" s="112" t="str">
        <f>REPLACE(INDEX(GroupVertices[Group],MATCH("~"&amp;Edges[[#This Row],[Vertex 1]],GroupVertices[Vertex],0)),1,1,"")</f>
        <v>32</v>
      </c>
      <c r="BU231" s="112" t="str">
        <f>REPLACE(INDEX(GroupVertices[Group],MATCH("~"&amp;Edges[[#This Row],[Vertex 2]],GroupVertices[Vertex],0)),1,1,"")</f>
        <v>32</v>
      </c>
    </row>
    <row r="232" spans="1:73" ht="15">
      <c r="A232" s="59" t="s">
        <v>309</v>
      </c>
      <c r="B232" s="59" t="s">
        <v>341</v>
      </c>
      <c r="C232" s="60"/>
      <c r="D232" s="61"/>
      <c r="E232" s="62"/>
      <c r="F232" s="63"/>
      <c r="G232" s="60"/>
      <c r="H232" s="64"/>
      <c r="I232" s="65"/>
      <c r="J232" s="65"/>
      <c r="K232" s="30" t="s">
        <v>65</v>
      </c>
      <c r="L232" s="72">
        <v>232</v>
      </c>
      <c r="M2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2" s="67"/>
      <c r="O232" t="s">
        <v>482</v>
      </c>
      <c r="P232" s="73">
        <v>44572.167962962965</v>
      </c>
      <c r="Q232" t="s">
        <v>629</v>
      </c>
      <c r="R232">
        <v>0</v>
      </c>
      <c r="S232">
        <v>0</v>
      </c>
      <c r="T232">
        <v>0</v>
      </c>
      <c r="U232">
        <v>0</v>
      </c>
      <c r="Z232" t="s">
        <v>341</v>
      </c>
      <c r="AC232" s="74" t="s">
        <v>787</v>
      </c>
      <c r="AD232" t="s">
        <v>794</v>
      </c>
      <c r="AE232" s="75" t="str">
        <f>HYPERLINK("https://twitter.com/rizki_reza24/status/1480751791423700993")</f>
        <v>https://twitter.com/rizki_reza24/status/1480751791423700993</v>
      </c>
      <c r="AF232" s="73">
        <v>44572.167962962965</v>
      </c>
      <c r="AG232" s="77">
        <v>44572</v>
      </c>
      <c r="AH232" s="74" t="s">
        <v>943</v>
      </c>
      <c r="AV232" s="75" t="str">
        <f>HYPERLINK("https://pbs.twimg.com/profile_images/1513181257966157824/sJfpKpZY_normal.jpg")</f>
        <v>https://pbs.twimg.com/profile_images/1513181257966157824/sJfpKpZY_normal.jpg</v>
      </c>
      <c r="AW232" s="74" t="s">
        <v>1164</v>
      </c>
      <c r="AX232" s="74" t="s">
        <v>1242</v>
      </c>
      <c r="AY232" s="74" t="s">
        <v>1328</v>
      </c>
      <c r="AZ232" s="74" t="s">
        <v>1242</v>
      </c>
      <c r="BA232" s="74" t="s">
        <v>1384</v>
      </c>
      <c r="BB232" s="74" t="s">
        <v>1384</v>
      </c>
      <c r="BC232" s="74" t="s">
        <v>1242</v>
      </c>
      <c r="BD232" s="74" t="s">
        <v>1463</v>
      </c>
      <c r="BJ232" s="44">
        <v>5</v>
      </c>
      <c r="BK232" s="45">
        <v>71.42857142857143</v>
      </c>
      <c r="BL232" s="44">
        <v>0</v>
      </c>
      <c r="BM232" s="45">
        <v>0</v>
      </c>
      <c r="BN232" s="44">
        <v>0</v>
      </c>
      <c r="BO232" s="45">
        <v>0</v>
      </c>
      <c r="BP232" s="44">
        <v>2</v>
      </c>
      <c r="BQ232" s="45">
        <v>28.571428571428573</v>
      </c>
      <c r="BR232" s="44">
        <v>7</v>
      </c>
      <c r="BS232">
        <v>1</v>
      </c>
      <c r="BT232" s="112" t="str">
        <f>REPLACE(INDEX(GroupVertices[Group],MATCH("~"&amp;Edges[[#This Row],[Vertex 1]],GroupVertices[Vertex],0)),1,1,"")</f>
        <v>6</v>
      </c>
      <c r="BU232" s="112" t="str">
        <f>REPLACE(INDEX(GroupVertices[Group],MATCH("~"&amp;Edges[[#This Row],[Vertex 2]],GroupVertices[Vertex],0)),1,1,"")</f>
        <v>6</v>
      </c>
    </row>
    <row r="233" spans="1:73" ht="15">
      <c r="A233" s="59" t="s">
        <v>310</v>
      </c>
      <c r="B233" s="59" t="s">
        <v>310</v>
      </c>
      <c r="C233" s="60"/>
      <c r="D233" s="61"/>
      <c r="E233" s="62"/>
      <c r="F233" s="63"/>
      <c r="G233" s="60"/>
      <c r="H233" s="64"/>
      <c r="I233" s="65"/>
      <c r="J233" s="65"/>
      <c r="K233" s="30" t="s">
        <v>65</v>
      </c>
      <c r="L233" s="72">
        <v>233</v>
      </c>
      <c r="M2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3" s="67"/>
      <c r="O233" t="s">
        <v>177</v>
      </c>
      <c r="P233" s="73">
        <v>44547.16931712963</v>
      </c>
      <c r="Q233" t="s">
        <v>630</v>
      </c>
      <c r="R233">
        <v>0</v>
      </c>
      <c r="S233">
        <v>0</v>
      </c>
      <c r="T233">
        <v>0</v>
      </c>
      <c r="U233">
        <v>0</v>
      </c>
      <c r="W233" s="74" t="s">
        <v>682</v>
      </c>
      <c r="AC233" s="74" t="s">
        <v>789</v>
      </c>
      <c r="AD233" t="s">
        <v>794</v>
      </c>
      <c r="AE233" s="75" t="str">
        <f>HYPERLINK("https://twitter.com/imronbiz/status/1471692585999626243")</f>
        <v>https://twitter.com/imronbiz/status/1471692585999626243</v>
      </c>
      <c r="AF233" s="73">
        <v>44547.16931712963</v>
      </c>
      <c r="AG233" s="77">
        <v>44547</v>
      </c>
      <c r="AH233" s="74" t="s">
        <v>944</v>
      </c>
      <c r="AJ233" t="s">
        <v>995</v>
      </c>
      <c r="AK233" t="s">
        <v>996</v>
      </c>
      <c r="AL233" t="s">
        <v>12</v>
      </c>
      <c r="AM233" t="s">
        <v>997</v>
      </c>
      <c r="AN233" t="s">
        <v>998</v>
      </c>
      <c r="AO233" t="s">
        <v>999</v>
      </c>
      <c r="AP233" t="s">
        <v>1000</v>
      </c>
      <c r="AV233" s="75" t="str">
        <f>HYPERLINK("https://pbs.twimg.com/profile_images/1486594995146477568/gI2fZPj7_normal.jpg")</f>
        <v>https://pbs.twimg.com/profile_images/1486594995146477568/gI2fZPj7_normal.jpg</v>
      </c>
      <c r="AW233" s="74" t="s">
        <v>1165</v>
      </c>
      <c r="AX233" s="74" t="s">
        <v>1165</v>
      </c>
      <c r="AZ233" s="74" t="s">
        <v>1384</v>
      </c>
      <c r="BA233" s="74" t="s">
        <v>1384</v>
      </c>
      <c r="BB233" s="74" t="s">
        <v>1384</v>
      </c>
      <c r="BC233" s="74" t="s">
        <v>1165</v>
      </c>
      <c r="BD233">
        <v>14951080</v>
      </c>
      <c r="BJ233" s="44">
        <v>1</v>
      </c>
      <c r="BK233" s="45">
        <v>7.142857142857143</v>
      </c>
      <c r="BL233" s="44">
        <v>1</v>
      </c>
      <c r="BM233" s="45">
        <v>7.142857142857143</v>
      </c>
      <c r="BN233" s="44">
        <v>0</v>
      </c>
      <c r="BO233" s="45">
        <v>0</v>
      </c>
      <c r="BP233" s="44">
        <v>12</v>
      </c>
      <c r="BQ233" s="45">
        <v>85.71428571428571</v>
      </c>
      <c r="BR233" s="44">
        <v>14</v>
      </c>
      <c r="BS233">
        <v>1</v>
      </c>
      <c r="BT233" s="112" t="str">
        <f>REPLACE(INDEX(GroupVertices[Group],MATCH("~"&amp;Edges[[#This Row],[Vertex 1]],GroupVertices[Vertex],0)),1,1,"")</f>
        <v>3</v>
      </c>
      <c r="BU233" s="112" t="str">
        <f>REPLACE(INDEX(GroupVertices[Group],MATCH("~"&amp;Edges[[#This Row],[Vertex 2]],GroupVertices[Vertex],0)),1,1,"")</f>
        <v>3</v>
      </c>
    </row>
    <row r="234" spans="1:73" ht="15">
      <c r="A234" s="59" t="s">
        <v>311</v>
      </c>
      <c r="B234" s="59" t="s">
        <v>469</v>
      </c>
      <c r="C234" s="60"/>
      <c r="D234" s="61"/>
      <c r="E234" s="62"/>
      <c r="F234" s="63"/>
      <c r="G234" s="60"/>
      <c r="H234" s="64"/>
      <c r="I234" s="65"/>
      <c r="J234" s="65"/>
      <c r="K234" s="30" t="s">
        <v>65</v>
      </c>
      <c r="L234" s="72">
        <v>234</v>
      </c>
      <c r="M2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4" s="67"/>
      <c r="O234" t="s">
        <v>482</v>
      </c>
      <c r="P234" s="73">
        <v>44717.44642361111</v>
      </c>
      <c r="Q234" t="s">
        <v>631</v>
      </c>
      <c r="R234">
        <v>0</v>
      </c>
      <c r="S234">
        <v>0</v>
      </c>
      <c r="T234">
        <v>0</v>
      </c>
      <c r="U234">
        <v>0</v>
      </c>
      <c r="Z234" t="s">
        <v>469</v>
      </c>
      <c r="AC234" s="74" t="s">
        <v>786</v>
      </c>
      <c r="AD234" t="s">
        <v>794</v>
      </c>
      <c r="AE234" s="75" t="str">
        <f>HYPERLINK("https://twitter.com/anjariuss/status/1533398940233523200")</f>
        <v>https://twitter.com/anjariuss/status/1533398940233523200</v>
      </c>
      <c r="AF234" s="73">
        <v>44717.44642361111</v>
      </c>
      <c r="AG234" s="77">
        <v>44717</v>
      </c>
      <c r="AH234" s="74" t="s">
        <v>945</v>
      </c>
      <c r="AV234" s="75" t="str">
        <f>HYPERLINK("https://pbs.twimg.com/profile_images/1575753227819454464/R35AW501_normal.jpg")</f>
        <v>https://pbs.twimg.com/profile_images/1575753227819454464/R35AW501_normal.jpg</v>
      </c>
      <c r="AW234" s="74" t="s">
        <v>1166</v>
      </c>
      <c r="AX234" s="74" t="s">
        <v>1307</v>
      </c>
      <c r="AY234" s="74" t="s">
        <v>1379</v>
      </c>
      <c r="AZ234" s="74" t="s">
        <v>1307</v>
      </c>
      <c r="BA234" s="74" t="s">
        <v>1384</v>
      </c>
      <c r="BB234" s="74" t="s">
        <v>1384</v>
      </c>
      <c r="BC234" s="74" t="s">
        <v>1307</v>
      </c>
      <c r="BD234" s="74" t="s">
        <v>1464</v>
      </c>
      <c r="BJ234" s="44">
        <v>8</v>
      </c>
      <c r="BK234" s="45">
        <v>23.529411764705884</v>
      </c>
      <c r="BL234" s="44">
        <v>0</v>
      </c>
      <c r="BM234" s="45">
        <v>0</v>
      </c>
      <c r="BN234" s="44">
        <v>0</v>
      </c>
      <c r="BO234" s="45">
        <v>0</v>
      </c>
      <c r="BP234" s="44">
        <v>26</v>
      </c>
      <c r="BQ234" s="45">
        <v>76.47058823529412</v>
      </c>
      <c r="BR234" s="44">
        <v>34</v>
      </c>
      <c r="BS234">
        <v>1</v>
      </c>
      <c r="BT234" s="112" t="str">
        <f>REPLACE(INDEX(GroupVertices[Group],MATCH("~"&amp;Edges[[#This Row],[Vertex 1]],GroupVertices[Vertex],0)),1,1,"")</f>
        <v>33</v>
      </c>
      <c r="BU234" s="112" t="str">
        <f>REPLACE(INDEX(GroupVertices[Group],MATCH("~"&amp;Edges[[#This Row],[Vertex 2]],GroupVertices[Vertex],0)),1,1,"")</f>
        <v>33</v>
      </c>
    </row>
    <row r="235" spans="1:73" ht="15">
      <c r="A235" s="59" t="s">
        <v>268</v>
      </c>
      <c r="B235" s="59" t="s">
        <v>268</v>
      </c>
      <c r="C235" s="60"/>
      <c r="D235" s="61"/>
      <c r="E235" s="62"/>
      <c r="F235" s="63"/>
      <c r="G235" s="60"/>
      <c r="H235" s="64"/>
      <c r="I235" s="65"/>
      <c r="J235" s="65"/>
      <c r="K235" s="30" t="s">
        <v>65</v>
      </c>
      <c r="L235" s="72">
        <v>235</v>
      </c>
      <c r="M2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5" s="67"/>
      <c r="O235" t="s">
        <v>177</v>
      </c>
      <c r="P235" s="73">
        <v>44542.58677083333</v>
      </c>
      <c r="Q235" t="s">
        <v>632</v>
      </c>
      <c r="R235">
        <v>589</v>
      </c>
      <c r="S235">
        <v>2090</v>
      </c>
      <c r="T235">
        <v>134</v>
      </c>
      <c r="U235">
        <v>44</v>
      </c>
      <c r="X235" s="75" t="str">
        <f>HYPERLINK("https://politik.rmol.id/read/2021/12/12/515055/alasan-firli-agar-preshold-0-persen-banyak-kepala-daerah-keluhkan-biaya-politik-dan-akhirnya-korupsi")</f>
        <v>https://politik.rmol.id/read/2021/12/12/515055/alasan-firli-agar-preshold-0-persen-banyak-kepala-daerah-keluhkan-biaya-politik-dan-akhirnya-korupsi</v>
      </c>
      <c r="Y235" t="s">
        <v>714</v>
      </c>
      <c r="AC235" s="74" t="s">
        <v>789</v>
      </c>
      <c r="AD235" t="s">
        <v>794</v>
      </c>
      <c r="AE235" s="75" t="str">
        <f>HYPERLINK("https://twitter.com/ramlirizal/status/1470031926467592195")</f>
        <v>https://twitter.com/ramlirizal/status/1470031926467592195</v>
      </c>
      <c r="AF235" s="73">
        <v>44542.58677083333</v>
      </c>
      <c r="AG235" s="77">
        <v>44542</v>
      </c>
      <c r="AH235" s="74" t="s">
        <v>946</v>
      </c>
      <c r="AI235" t="b">
        <v>0</v>
      </c>
      <c r="AV235" s="75" t="str">
        <f>HYPERLINK("https://pbs.twimg.com/profile_images/566077214081290240/NQje2pzu_normal.jpeg")</f>
        <v>https://pbs.twimg.com/profile_images/566077214081290240/NQje2pzu_normal.jpeg</v>
      </c>
      <c r="AW235" s="74" t="s">
        <v>1167</v>
      </c>
      <c r="AX235" s="74" t="s">
        <v>1167</v>
      </c>
      <c r="AZ235" s="74" t="s">
        <v>1384</v>
      </c>
      <c r="BA235" s="74" t="s">
        <v>1384</v>
      </c>
      <c r="BB235" s="74" t="s">
        <v>1384</v>
      </c>
      <c r="BC235" s="74" t="s">
        <v>1167</v>
      </c>
      <c r="BD235">
        <v>452992293</v>
      </c>
      <c r="BJ235" s="44">
        <v>2</v>
      </c>
      <c r="BK235" s="45">
        <v>4.761904761904762</v>
      </c>
      <c r="BL235" s="44">
        <v>0</v>
      </c>
      <c r="BM235" s="45">
        <v>0</v>
      </c>
      <c r="BN235" s="44">
        <v>0</v>
      </c>
      <c r="BO235" s="45">
        <v>0</v>
      </c>
      <c r="BP235" s="44">
        <v>40</v>
      </c>
      <c r="BQ235" s="45">
        <v>95.23809523809524</v>
      </c>
      <c r="BR235" s="44">
        <v>42</v>
      </c>
      <c r="BS235">
        <v>8</v>
      </c>
      <c r="BT235" s="112" t="str">
        <f>REPLACE(INDEX(GroupVertices[Group],MATCH("~"&amp;Edges[[#This Row],[Vertex 1]],GroupVertices[Vertex],0)),1,1,"")</f>
        <v>13</v>
      </c>
      <c r="BU235" s="112" t="str">
        <f>REPLACE(INDEX(GroupVertices[Group],MATCH("~"&amp;Edges[[#This Row],[Vertex 2]],GroupVertices[Vertex],0)),1,1,"")</f>
        <v>13</v>
      </c>
    </row>
    <row r="236" spans="1:73" ht="15">
      <c r="A236" s="59" t="s">
        <v>312</v>
      </c>
      <c r="B236" s="59" t="s">
        <v>268</v>
      </c>
      <c r="C236" s="60"/>
      <c r="D236" s="61"/>
      <c r="E236" s="62"/>
      <c r="F236" s="63"/>
      <c r="G236" s="60"/>
      <c r="H236" s="64"/>
      <c r="I236" s="65"/>
      <c r="J236" s="65"/>
      <c r="K236" s="30" t="s">
        <v>65</v>
      </c>
      <c r="L236" s="72">
        <v>236</v>
      </c>
      <c r="M2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6" s="67"/>
      <c r="O236" t="s">
        <v>484</v>
      </c>
      <c r="P236" s="73">
        <v>44574.96670138889</v>
      </c>
      <c r="Q236" t="s">
        <v>633</v>
      </c>
      <c r="R236">
        <v>4</v>
      </c>
      <c r="S236">
        <v>5</v>
      </c>
      <c r="T236">
        <v>0</v>
      </c>
      <c r="U236">
        <v>0</v>
      </c>
      <c r="W236" s="74" t="s">
        <v>701</v>
      </c>
      <c r="AC236" s="74" t="s">
        <v>787</v>
      </c>
      <c r="AD236" t="s">
        <v>794</v>
      </c>
      <c r="AE236" s="75" t="str">
        <f>HYPERLINK("https://twitter.com/imamsunartoarif/status/1481766019639443459")</f>
        <v>https://twitter.com/imamsunartoarif/status/1481766019639443459</v>
      </c>
      <c r="AF236" s="73">
        <v>44574.96670138889</v>
      </c>
      <c r="AG236" s="77">
        <v>44574</v>
      </c>
      <c r="AH236" s="74" t="s">
        <v>947</v>
      </c>
      <c r="AV236" s="75" t="str">
        <f>HYPERLINK("https://pbs.twimg.com/profile_images/949285402552102912/vXU1ljdl_normal.jpg")</f>
        <v>https://pbs.twimg.com/profile_images/949285402552102912/vXU1ljdl_normal.jpg</v>
      </c>
      <c r="AW236" s="74" t="s">
        <v>1169</v>
      </c>
      <c r="AX236" s="74" t="s">
        <v>1169</v>
      </c>
      <c r="AZ236" s="74" t="s">
        <v>1384</v>
      </c>
      <c r="BA236" s="74" t="s">
        <v>1100</v>
      </c>
      <c r="BB236" s="74" t="s">
        <v>1384</v>
      </c>
      <c r="BC236" s="74" t="s">
        <v>1100</v>
      </c>
      <c r="BD236">
        <v>221229468</v>
      </c>
      <c r="BJ236" s="44">
        <v>2</v>
      </c>
      <c r="BK236" s="45">
        <v>5.405405405405405</v>
      </c>
      <c r="BL236" s="44">
        <v>2</v>
      </c>
      <c r="BM236" s="45">
        <v>5.405405405405405</v>
      </c>
      <c r="BN236" s="44">
        <v>0</v>
      </c>
      <c r="BO236" s="45">
        <v>0</v>
      </c>
      <c r="BP236" s="44">
        <v>32</v>
      </c>
      <c r="BQ236" s="45">
        <v>86.48648648648648</v>
      </c>
      <c r="BR236" s="44">
        <v>37</v>
      </c>
      <c r="BS236">
        <v>1</v>
      </c>
      <c r="BT236" s="112" t="str">
        <f>REPLACE(INDEX(GroupVertices[Group],MATCH("~"&amp;Edges[[#This Row],[Vertex 1]],GroupVertices[Vertex],0)),1,1,"")</f>
        <v>13</v>
      </c>
      <c r="BU236" s="112" t="str">
        <f>REPLACE(INDEX(GroupVertices[Group],MATCH("~"&amp;Edges[[#This Row],[Vertex 2]],GroupVertices[Vertex],0)),1,1,"")</f>
        <v>13</v>
      </c>
    </row>
    <row r="237" spans="1:73" ht="15">
      <c r="A237" s="59" t="s">
        <v>313</v>
      </c>
      <c r="B237" s="59" t="s">
        <v>320</v>
      </c>
      <c r="C237" s="60"/>
      <c r="D237" s="61"/>
      <c r="E237" s="62"/>
      <c r="F237" s="63"/>
      <c r="G237" s="60"/>
      <c r="H237" s="64"/>
      <c r="I237" s="65"/>
      <c r="J237" s="65"/>
      <c r="K237" s="30" t="s">
        <v>65</v>
      </c>
      <c r="L237" s="72">
        <v>237</v>
      </c>
      <c r="M2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7" s="67"/>
      <c r="O237" t="s">
        <v>484</v>
      </c>
      <c r="P237" s="73">
        <v>44615.764027777775</v>
      </c>
      <c r="Q237" t="s">
        <v>634</v>
      </c>
      <c r="R237">
        <v>0</v>
      </c>
      <c r="S237">
        <v>1</v>
      </c>
      <c r="T237">
        <v>0</v>
      </c>
      <c r="U237">
        <v>0</v>
      </c>
      <c r="AC237" s="74" t="s">
        <v>787</v>
      </c>
      <c r="AD237" t="s">
        <v>794</v>
      </c>
      <c r="AE237" s="75" t="str">
        <f>HYPERLINK("https://twitter.com/kretek_mantab/status/1496550473213841411")</f>
        <v>https://twitter.com/kretek_mantab/status/1496550473213841411</v>
      </c>
      <c r="AF237" s="73">
        <v>44615.764027777775</v>
      </c>
      <c r="AG237" s="77">
        <v>44615</v>
      </c>
      <c r="AH237" s="74" t="s">
        <v>948</v>
      </c>
      <c r="AV237" s="75" t="str">
        <f>HYPERLINK("https://pbs.twimg.com/profile_images/1490362913705508865/eQDvT3lo_normal.jpg")</f>
        <v>https://pbs.twimg.com/profile_images/1490362913705508865/eQDvT3lo_normal.jpg</v>
      </c>
      <c r="AW237" s="74" t="s">
        <v>1170</v>
      </c>
      <c r="AX237" s="74" t="s">
        <v>1170</v>
      </c>
      <c r="AZ237" s="74" t="s">
        <v>1384</v>
      </c>
      <c r="BA237" s="74" t="s">
        <v>1181</v>
      </c>
      <c r="BB237" s="74" t="s">
        <v>1384</v>
      </c>
      <c r="BC237" s="74" t="s">
        <v>1181</v>
      </c>
      <c r="BD237" s="74" t="s">
        <v>1465</v>
      </c>
      <c r="BJ237" s="44">
        <v>3</v>
      </c>
      <c r="BK237" s="45">
        <v>25</v>
      </c>
      <c r="BL237" s="44">
        <v>1</v>
      </c>
      <c r="BM237" s="45">
        <v>8.333333333333334</v>
      </c>
      <c r="BN237" s="44">
        <v>0</v>
      </c>
      <c r="BO237" s="45">
        <v>0</v>
      </c>
      <c r="BP237" s="44">
        <v>8</v>
      </c>
      <c r="BQ237" s="45">
        <v>66.66666666666667</v>
      </c>
      <c r="BR237" s="44">
        <v>12</v>
      </c>
      <c r="BS237">
        <v>1</v>
      </c>
      <c r="BT237" s="112" t="str">
        <f>REPLACE(INDEX(GroupVertices[Group],MATCH("~"&amp;Edges[[#This Row],[Vertex 1]],GroupVertices[Vertex],0)),1,1,"")</f>
        <v>38</v>
      </c>
      <c r="BU237" s="112" t="str">
        <f>REPLACE(INDEX(GroupVertices[Group],MATCH("~"&amp;Edges[[#This Row],[Vertex 2]],GroupVertices[Vertex],0)),1,1,"")</f>
        <v>38</v>
      </c>
    </row>
    <row r="238" spans="1:73" ht="15">
      <c r="A238" s="59" t="s">
        <v>314</v>
      </c>
      <c r="B238" s="59" t="s">
        <v>314</v>
      </c>
      <c r="C238" s="60"/>
      <c r="D238" s="61"/>
      <c r="E238" s="62"/>
      <c r="F238" s="63"/>
      <c r="G238" s="60"/>
      <c r="H238" s="64"/>
      <c r="I238" s="65"/>
      <c r="J238" s="65"/>
      <c r="K238" s="30" t="s">
        <v>65</v>
      </c>
      <c r="L238" s="72">
        <v>238</v>
      </c>
      <c r="M2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8" s="67"/>
      <c r="O238" t="s">
        <v>177</v>
      </c>
      <c r="P238" s="73">
        <v>44558.02642361111</v>
      </c>
      <c r="Q238" t="s">
        <v>635</v>
      </c>
      <c r="R238">
        <v>21</v>
      </c>
      <c r="S238">
        <v>81</v>
      </c>
      <c r="T238">
        <v>2</v>
      </c>
      <c r="U238">
        <v>1</v>
      </c>
      <c r="X238" s="75" t="str">
        <f>HYPERLINK("https://www.oposisicerdas.com/2021/12/kembali-maju-ke-mk-agar-presidential.html")</f>
        <v>https://www.oposisicerdas.com/2021/12/kembali-maju-ke-mk-agar-presidential.html</v>
      </c>
      <c r="Y238" t="s">
        <v>718</v>
      </c>
      <c r="AC238" s="74" t="s">
        <v>786</v>
      </c>
      <c r="AD238" t="s">
        <v>794</v>
      </c>
      <c r="AE238" s="75" t="str">
        <f>HYPERLINK("https://twitter.com/oposisicerdas/status/1475627066351489028")</f>
        <v>https://twitter.com/oposisicerdas/status/1475627066351489028</v>
      </c>
      <c r="AF238" s="73">
        <v>44558.02642361111</v>
      </c>
      <c r="AG238" s="77">
        <v>44558</v>
      </c>
      <c r="AH238" s="74" t="s">
        <v>949</v>
      </c>
      <c r="AI238" t="b">
        <v>0</v>
      </c>
      <c r="AV238" s="75" t="str">
        <f>HYPERLINK("https://pbs.twimg.com/profile_images/1238029886066851841/eqxRguVj_normal.jpg")</f>
        <v>https://pbs.twimg.com/profile_images/1238029886066851841/eqxRguVj_normal.jpg</v>
      </c>
      <c r="AW238" s="74" t="s">
        <v>1171</v>
      </c>
      <c r="AX238" s="74" t="s">
        <v>1171</v>
      </c>
      <c r="AZ238" s="74" t="s">
        <v>1384</v>
      </c>
      <c r="BA238" s="74" t="s">
        <v>1384</v>
      </c>
      <c r="BB238" s="74" t="s">
        <v>1384</v>
      </c>
      <c r="BC238" s="74" t="s">
        <v>1171</v>
      </c>
      <c r="BD238" s="74" t="s">
        <v>1341</v>
      </c>
      <c r="BJ238" s="44">
        <v>3</v>
      </c>
      <c r="BK238" s="45">
        <v>14.285714285714286</v>
      </c>
      <c r="BL238" s="44">
        <v>0</v>
      </c>
      <c r="BM238" s="45">
        <v>0</v>
      </c>
      <c r="BN238" s="44">
        <v>0</v>
      </c>
      <c r="BO238" s="45">
        <v>0</v>
      </c>
      <c r="BP238" s="44">
        <v>17</v>
      </c>
      <c r="BQ238" s="45">
        <v>80.95238095238095</v>
      </c>
      <c r="BR238" s="44">
        <v>21</v>
      </c>
      <c r="BS238">
        <v>64</v>
      </c>
      <c r="BT238" s="112" t="str">
        <f>REPLACE(INDEX(GroupVertices[Group],MATCH("~"&amp;Edges[[#This Row],[Vertex 1]],GroupVertices[Vertex],0)),1,1,"")</f>
        <v>11</v>
      </c>
      <c r="BU238" s="112" t="str">
        <f>REPLACE(INDEX(GroupVertices[Group],MATCH("~"&amp;Edges[[#This Row],[Vertex 2]],GroupVertices[Vertex],0)),1,1,"")</f>
        <v>11</v>
      </c>
    </row>
    <row r="239" spans="1:73" ht="15">
      <c r="A239" s="59" t="s">
        <v>315</v>
      </c>
      <c r="B239" s="59" t="s">
        <v>314</v>
      </c>
      <c r="C239" s="60"/>
      <c r="D239" s="61"/>
      <c r="E239" s="62"/>
      <c r="F239" s="63"/>
      <c r="G239" s="60"/>
      <c r="H239" s="64"/>
      <c r="I239" s="65"/>
      <c r="J239" s="65"/>
      <c r="K239" s="30" t="s">
        <v>65</v>
      </c>
      <c r="L239" s="72">
        <v>239</v>
      </c>
      <c r="M2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9" s="67"/>
      <c r="O239" t="s">
        <v>482</v>
      </c>
      <c r="P239" s="73">
        <v>44632.92283564815</v>
      </c>
      <c r="Q239" t="s">
        <v>636</v>
      </c>
      <c r="R239">
        <v>0</v>
      </c>
      <c r="S239">
        <v>0</v>
      </c>
      <c r="T239">
        <v>0</v>
      </c>
      <c r="U239">
        <v>0</v>
      </c>
      <c r="W239" s="74" t="s">
        <v>702</v>
      </c>
      <c r="Z239" t="s">
        <v>314</v>
      </c>
      <c r="AC239" s="74" t="s">
        <v>787</v>
      </c>
      <c r="AD239" t="s">
        <v>794</v>
      </c>
      <c r="AE239" s="75" t="str">
        <f>HYPERLINK("https://twitter.com/rasyeed_amree/status/1502768619536539649")</f>
        <v>https://twitter.com/rasyeed_amree/status/1502768619536539649</v>
      </c>
      <c r="AF239" s="73">
        <v>44632.92283564815</v>
      </c>
      <c r="AG239" s="77">
        <v>44632</v>
      </c>
      <c r="AH239" s="74" t="s">
        <v>950</v>
      </c>
      <c r="AV239" s="75" t="str">
        <f>HYPERLINK("https://pbs.twimg.com/profile_images/1561304180655943680/YZrRUe5N_normal.jpg")</f>
        <v>https://pbs.twimg.com/profile_images/1561304180655943680/YZrRUe5N_normal.jpg</v>
      </c>
      <c r="AW239" s="74" t="s">
        <v>1175</v>
      </c>
      <c r="AX239" s="74" t="s">
        <v>1308</v>
      </c>
      <c r="AY239" s="74" t="s">
        <v>1341</v>
      </c>
      <c r="AZ239" s="74" t="s">
        <v>1308</v>
      </c>
      <c r="BA239" s="74" t="s">
        <v>1384</v>
      </c>
      <c r="BB239" s="74" t="s">
        <v>1384</v>
      </c>
      <c r="BC239" s="74" t="s">
        <v>1308</v>
      </c>
      <c r="BD239" s="74" t="s">
        <v>1466</v>
      </c>
      <c r="BJ239" s="44">
        <v>1</v>
      </c>
      <c r="BK239" s="45">
        <v>11.11111111111111</v>
      </c>
      <c r="BL239" s="44">
        <v>0</v>
      </c>
      <c r="BM239" s="45">
        <v>0</v>
      </c>
      <c r="BN239" s="44">
        <v>0</v>
      </c>
      <c r="BO239" s="45">
        <v>0</v>
      </c>
      <c r="BP239" s="44">
        <v>8</v>
      </c>
      <c r="BQ239" s="45">
        <v>88.88888888888889</v>
      </c>
      <c r="BR239" s="44">
        <v>9</v>
      </c>
      <c r="BS239">
        <v>27</v>
      </c>
      <c r="BT239" s="112" t="str">
        <f>REPLACE(INDEX(GroupVertices[Group],MATCH("~"&amp;Edges[[#This Row],[Vertex 1]],GroupVertices[Vertex],0)),1,1,"")</f>
        <v>11</v>
      </c>
      <c r="BU239" s="112" t="str">
        <f>REPLACE(INDEX(GroupVertices[Group],MATCH("~"&amp;Edges[[#This Row],[Vertex 2]],GroupVertices[Vertex],0)),1,1,"")</f>
        <v>11</v>
      </c>
    </row>
    <row r="240" spans="1:73" ht="15">
      <c r="A240" s="59" t="s">
        <v>316</v>
      </c>
      <c r="B240" s="59" t="s">
        <v>316</v>
      </c>
      <c r="C240" s="60"/>
      <c r="D240" s="61"/>
      <c r="E240" s="62"/>
      <c r="F240" s="63"/>
      <c r="G240" s="60"/>
      <c r="H240" s="64"/>
      <c r="I240" s="65"/>
      <c r="J240" s="65"/>
      <c r="K240" s="30" t="s">
        <v>65</v>
      </c>
      <c r="L240" s="72">
        <v>240</v>
      </c>
      <c r="M2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0" s="67"/>
      <c r="O240" t="s">
        <v>177</v>
      </c>
      <c r="P240" s="73">
        <v>44544.612546296295</v>
      </c>
      <c r="Q240" t="s">
        <v>637</v>
      </c>
      <c r="R240">
        <v>0</v>
      </c>
      <c r="S240">
        <v>0</v>
      </c>
      <c r="T240">
        <v>0</v>
      </c>
      <c r="U240">
        <v>0</v>
      </c>
      <c r="W240" s="74" t="s">
        <v>682</v>
      </c>
      <c r="AC240" s="74" t="s">
        <v>787</v>
      </c>
      <c r="AD240" t="s">
        <v>795</v>
      </c>
      <c r="AE240" s="75" t="str">
        <f>HYPERLINK("https://twitter.com/amrullahkareem1/status/1470766040544075778")</f>
        <v>https://twitter.com/amrullahkareem1/status/1470766040544075778</v>
      </c>
      <c r="AF240" s="73">
        <v>44544.612546296295</v>
      </c>
      <c r="AG240" s="77">
        <v>44544</v>
      </c>
      <c r="AH240" s="74" t="s">
        <v>951</v>
      </c>
      <c r="AV240" s="75" t="str">
        <f>HYPERLINK("https://pbs.twimg.com/profile_images/1698015402755080192/QtWkIROy_normal.jpg")</f>
        <v>https://pbs.twimg.com/profile_images/1698015402755080192/QtWkIROy_normal.jpg</v>
      </c>
      <c r="AW240" s="74" t="s">
        <v>1176</v>
      </c>
      <c r="AX240" s="74" t="s">
        <v>1176</v>
      </c>
      <c r="AZ240" s="74" t="s">
        <v>1384</v>
      </c>
      <c r="BA240" s="74" t="s">
        <v>1384</v>
      </c>
      <c r="BB240" s="74" t="s">
        <v>1384</v>
      </c>
      <c r="BC240" s="74" t="s">
        <v>1176</v>
      </c>
      <c r="BD240">
        <v>533765689</v>
      </c>
      <c r="BJ240" s="44">
        <v>0</v>
      </c>
      <c r="BK240" s="45">
        <v>0</v>
      </c>
      <c r="BL240" s="44">
        <v>0</v>
      </c>
      <c r="BM240" s="45">
        <v>0</v>
      </c>
      <c r="BN240" s="44">
        <v>0</v>
      </c>
      <c r="BO240" s="45">
        <v>0</v>
      </c>
      <c r="BP240" s="44">
        <v>1</v>
      </c>
      <c r="BQ240" s="45">
        <v>100</v>
      </c>
      <c r="BR240" s="44">
        <v>1</v>
      </c>
      <c r="BS240">
        <v>1</v>
      </c>
      <c r="BT240" s="112" t="str">
        <f>REPLACE(INDEX(GroupVertices[Group],MATCH("~"&amp;Edges[[#This Row],[Vertex 1]],GroupVertices[Vertex],0)),1,1,"")</f>
        <v>3</v>
      </c>
      <c r="BU240" s="112" t="str">
        <f>REPLACE(INDEX(GroupVertices[Group],MATCH("~"&amp;Edges[[#This Row],[Vertex 2]],GroupVertices[Vertex],0)),1,1,"")</f>
        <v>3</v>
      </c>
    </row>
    <row r="241" spans="1:73" ht="15">
      <c r="A241" s="59" t="s">
        <v>317</v>
      </c>
      <c r="B241" s="59" t="s">
        <v>470</v>
      </c>
      <c r="C241" s="60"/>
      <c r="D241" s="61"/>
      <c r="E241" s="62"/>
      <c r="F241" s="63"/>
      <c r="G241" s="60"/>
      <c r="H241" s="64"/>
      <c r="I241" s="65"/>
      <c r="J241" s="65"/>
      <c r="K241" s="30" t="s">
        <v>65</v>
      </c>
      <c r="L241" s="72">
        <v>241</v>
      </c>
      <c r="M2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1" s="67"/>
      <c r="O241" t="s">
        <v>483</v>
      </c>
      <c r="P241" s="73">
        <v>44580.196597222224</v>
      </c>
      <c r="Q241" t="s">
        <v>638</v>
      </c>
      <c r="R241">
        <v>0</v>
      </c>
      <c r="S241">
        <v>2</v>
      </c>
      <c r="T241">
        <v>1</v>
      </c>
      <c r="U241">
        <v>0</v>
      </c>
      <c r="Z241" t="s">
        <v>761</v>
      </c>
      <c r="AC241" s="74" t="s">
        <v>787</v>
      </c>
      <c r="AD241" t="s">
        <v>794</v>
      </c>
      <c r="AE241" s="75" t="str">
        <f>HYPERLINK("https://twitter.com/naylaazkiaa/status/1483661268859105280")</f>
        <v>https://twitter.com/naylaazkiaa/status/1483661268859105280</v>
      </c>
      <c r="AF241" s="73">
        <v>44580.196597222224</v>
      </c>
      <c r="AG241" s="77">
        <v>44580</v>
      </c>
      <c r="AH241" s="74" t="s">
        <v>952</v>
      </c>
      <c r="AV241" s="75" t="str">
        <f>HYPERLINK("https://pbs.twimg.com/profile_images/1439178090400256007/QzRHU2t-_normal.jpg")</f>
        <v>https://pbs.twimg.com/profile_images/1439178090400256007/QzRHU2t-_normal.jpg</v>
      </c>
      <c r="AW241" s="74" t="s">
        <v>1177</v>
      </c>
      <c r="AX241" s="74" t="s">
        <v>1309</v>
      </c>
      <c r="AY241" s="74" t="s">
        <v>1380</v>
      </c>
      <c r="AZ241" s="74" t="s">
        <v>1309</v>
      </c>
      <c r="BA241" s="74" t="s">
        <v>1384</v>
      </c>
      <c r="BB241" s="74" t="s">
        <v>1384</v>
      </c>
      <c r="BC241" s="74" t="s">
        <v>1309</v>
      </c>
      <c r="BD241" s="74" t="s">
        <v>1467</v>
      </c>
      <c r="BJ241" s="44"/>
      <c r="BK241" s="45"/>
      <c r="BL241" s="44"/>
      <c r="BM241" s="45"/>
      <c r="BN241" s="44"/>
      <c r="BO241" s="45"/>
      <c r="BP241" s="44"/>
      <c r="BQ241" s="45"/>
      <c r="BR241" s="44"/>
      <c r="BS241">
        <v>1</v>
      </c>
      <c r="BT241" s="112" t="str">
        <f>REPLACE(INDEX(GroupVertices[Group],MATCH("~"&amp;Edges[[#This Row],[Vertex 1]],GroupVertices[Vertex],0)),1,1,"")</f>
        <v>14</v>
      </c>
      <c r="BU241" s="112" t="str">
        <f>REPLACE(INDEX(GroupVertices[Group],MATCH("~"&amp;Edges[[#This Row],[Vertex 2]],GroupVertices[Vertex],0)),1,1,"")</f>
        <v>14</v>
      </c>
    </row>
    <row r="242" spans="1:73" ht="15">
      <c r="A242" s="59" t="s">
        <v>317</v>
      </c>
      <c r="B242" s="59" t="s">
        <v>471</v>
      </c>
      <c r="C242" s="60"/>
      <c r="D242" s="61"/>
      <c r="E242" s="62"/>
      <c r="F242" s="63"/>
      <c r="G242" s="60"/>
      <c r="H242" s="64"/>
      <c r="I242" s="65"/>
      <c r="J242" s="65"/>
      <c r="K242" s="30" t="s">
        <v>65</v>
      </c>
      <c r="L242" s="72">
        <v>242</v>
      </c>
      <c r="M2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2" s="67"/>
      <c r="O242" t="s">
        <v>483</v>
      </c>
      <c r="P242" s="73">
        <v>44580.196597222224</v>
      </c>
      <c r="Q242" t="s">
        <v>638</v>
      </c>
      <c r="R242">
        <v>0</v>
      </c>
      <c r="S242">
        <v>2</v>
      </c>
      <c r="T242">
        <v>1</v>
      </c>
      <c r="U242">
        <v>0</v>
      </c>
      <c r="Z242" t="s">
        <v>761</v>
      </c>
      <c r="AC242" s="74" t="s">
        <v>787</v>
      </c>
      <c r="AD242" t="s">
        <v>794</v>
      </c>
      <c r="AE242" s="75" t="str">
        <f>HYPERLINK("https://twitter.com/naylaazkiaa/status/1483661268859105280")</f>
        <v>https://twitter.com/naylaazkiaa/status/1483661268859105280</v>
      </c>
      <c r="AF242" s="73">
        <v>44580.196597222224</v>
      </c>
      <c r="AG242" s="77">
        <v>44580</v>
      </c>
      <c r="AH242" s="74" t="s">
        <v>952</v>
      </c>
      <c r="AV242" s="75" t="str">
        <f>HYPERLINK("https://pbs.twimg.com/profile_images/1439178090400256007/QzRHU2t-_normal.jpg")</f>
        <v>https://pbs.twimg.com/profile_images/1439178090400256007/QzRHU2t-_normal.jpg</v>
      </c>
      <c r="AW242" s="74" t="s">
        <v>1177</v>
      </c>
      <c r="AX242" s="74" t="s">
        <v>1309</v>
      </c>
      <c r="AY242" s="74" t="s">
        <v>1380</v>
      </c>
      <c r="AZ242" s="74" t="s">
        <v>1309</v>
      </c>
      <c r="BA242" s="74" t="s">
        <v>1384</v>
      </c>
      <c r="BB242" s="74" t="s">
        <v>1384</v>
      </c>
      <c r="BC242" s="74" t="s">
        <v>1309</v>
      </c>
      <c r="BD242" s="74" t="s">
        <v>1467</v>
      </c>
      <c r="BJ242" s="44"/>
      <c r="BK242" s="45"/>
      <c r="BL242" s="44"/>
      <c r="BM242" s="45"/>
      <c r="BN242" s="44"/>
      <c r="BO242" s="45"/>
      <c r="BP242" s="44"/>
      <c r="BQ242" s="45"/>
      <c r="BR242" s="44"/>
      <c r="BS242">
        <v>1</v>
      </c>
      <c r="BT242" s="112" t="str">
        <f>REPLACE(INDEX(GroupVertices[Group],MATCH("~"&amp;Edges[[#This Row],[Vertex 1]],GroupVertices[Vertex],0)),1,1,"")</f>
        <v>14</v>
      </c>
      <c r="BU242" s="112" t="str">
        <f>REPLACE(INDEX(GroupVertices[Group],MATCH("~"&amp;Edges[[#This Row],[Vertex 2]],GroupVertices[Vertex],0)),1,1,"")</f>
        <v>14</v>
      </c>
    </row>
    <row r="243" spans="1:73" ht="15">
      <c r="A243" s="59" t="s">
        <v>317</v>
      </c>
      <c r="B243" s="59" t="s">
        <v>472</v>
      </c>
      <c r="C243" s="60"/>
      <c r="D243" s="61"/>
      <c r="E243" s="62"/>
      <c r="F243" s="63"/>
      <c r="G243" s="60"/>
      <c r="H243" s="64"/>
      <c r="I243" s="65"/>
      <c r="J243" s="65"/>
      <c r="K243" s="30" t="s">
        <v>65</v>
      </c>
      <c r="L243" s="72">
        <v>243</v>
      </c>
      <c r="M2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3" s="67"/>
      <c r="O243" t="s">
        <v>483</v>
      </c>
      <c r="P243" s="73">
        <v>44580.196597222224</v>
      </c>
      <c r="Q243" t="s">
        <v>638</v>
      </c>
      <c r="R243">
        <v>0</v>
      </c>
      <c r="S243">
        <v>2</v>
      </c>
      <c r="T243">
        <v>1</v>
      </c>
      <c r="U243">
        <v>0</v>
      </c>
      <c r="Z243" t="s">
        <v>761</v>
      </c>
      <c r="AC243" s="74" t="s">
        <v>787</v>
      </c>
      <c r="AD243" t="s">
        <v>794</v>
      </c>
      <c r="AE243" s="75" t="str">
        <f>HYPERLINK("https://twitter.com/naylaazkiaa/status/1483661268859105280")</f>
        <v>https://twitter.com/naylaazkiaa/status/1483661268859105280</v>
      </c>
      <c r="AF243" s="73">
        <v>44580.196597222224</v>
      </c>
      <c r="AG243" s="77">
        <v>44580</v>
      </c>
      <c r="AH243" s="74" t="s">
        <v>952</v>
      </c>
      <c r="AV243" s="75" t="str">
        <f>HYPERLINK("https://pbs.twimg.com/profile_images/1439178090400256007/QzRHU2t-_normal.jpg")</f>
        <v>https://pbs.twimg.com/profile_images/1439178090400256007/QzRHU2t-_normal.jpg</v>
      </c>
      <c r="AW243" s="74" t="s">
        <v>1177</v>
      </c>
      <c r="AX243" s="74" t="s">
        <v>1309</v>
      </c>
      <c r="AY243" s="74" t="s">
        <v>1380</v>
      </c>
      <c r="AZ243" s="74" t="s">
        <v>1309</v>
      </c>
      <c r="BA243" s="74" t="s">
        <v>1384</v>
      </c>
      <c r="BB243" s="74" t="s">
        <v>1384</v>
      </c>
      <c r="BC243" s="74" t="s">
        <v>1309</v>
      </c>
      <c r="BD243" s="74" t="s">
        <v>1467</v>
      </c>
      <c r="BJ243" s="44"/>
      <c r="BK243" s="45"/>
      <c r="BL243" s="44"/>
      <c r="BM243" s="45"/>
      <c r="BN243" s="44"/>
      <c r="BO243" s="45"/>
      <c r="BP243" s="44"/>
      <c r="BQ243" s="45"/>
      <c r="BR243" s="44"/>
      <c r="BS243">
        <v>1</v>
      </c>
      <c r="BT243" s="112" t="str">
        <f>REPLACE(INDEX(GroupVertices[Group],MATCH("~"&amp;Edges[[#This Row],[Vertex 1]],GroupVertices[Vertex],0)),1,1,"")</f>
        <v>14</v>
      </c>
      <c r="BU243" s="112" t="str">
        <f>REPLACE(INDEX(GroupVertices[Group],MATCH("~"&amp;Edges[[#This Row],[Vertex 2]],GroupVertices[Vertex],0)),1,1,"")</f>
        <v>14</v>
      </c>
    </row>
    <row r="244" spans="1:73" ht="15">
      <c r="A244" s="59" t="s">
        <v>317</v>
      </c>
      <c r="B244" s="59" t="s">
        <v>473</v>
      </c>
      <c r="C244" s="60"/>
      <c r="D244" s="61"/>
      <c r="E244" s="62"/>
      <c r="F244" s="63"/>
      <c r="G244" s="60"/>
      <c r="H244" s="64"/>
      <c r="I244" s="65"/>
      <c r="J244" s="65"/>
      <c r="K244" s="30" t="s">
        <v>65</v>
      </c>
      <c r="L244" s="72">
        <v>244</v>
      </c>
      <c r="M2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4" s="67"/>
      <c r="O244" t="s">
        <v>483</v>
      </c>
      <c r="P244" s="73">
        <v>44580.196597222224</v>
      </c>
      <c r="Q244" t="s">
        <v>638</v>
      </c>
      <c r="R244">
        <v>0</v>
      </c>
      <c r="S244">
        <v>2</v>
      </c>
      <c r="T244">
        <v>1</v>
      </c>
      <c r="U244">
        <v>0</v>
      </c>
      <c r="Z244" t="s">
        <v>761</v>
      </c>
      <c r="AC244" s="74" t="s">
        <v>787</v>
      </c>
      <c r="AD244" t="s">
        <v>794</v>
      </c>
      <c r="AE244" s="75" t="str">
        <f>HYPERLINK("https://twitter.com/naylaazkiaa/status/1483661268859105280")</f>
        <v>https://twitter.com/naylaazkiaa/status/1483661268859105280</v>
      </c>
      <c r="AF244" s="73">
        <v>44580.196597222224</v>
      </c>
      <c r="AG244" s="77">
        <v>44580</v>
      </c>
      <c r="AH244" s="74" t="s">
        <v>952</v>
      </c>
      <c r="AV244" s="75" t="str">
        <f>HYPERLINK("https://pbs.twimg.com/profile_images/1439178090400256007/QzRHU2t-_normal.jpg")</f>
        <v>https://pbs.twimg.com/profile_images/1439178090400256007/QzRHU2t-_normal.jpg</v>
      </c>
      <c r="AW244" s="74" t="s">
        <v>1177</v>
      </c>
      <c r="AX244" s="74" t="s">
        <v>1309</v>
      </c>
      <c r="AY244" s="74" t="s">
        <v>1380</v>
      </c>
      <c r="AZ244" s="74" t="s">
        <v>1309</v>
      </c>
      <c r="BA244" s="74" t="s">
        <v>1384</v>
      </c>
      <c r="BB244" s="74" t="s">
        <v>1384</v>
      </c>
      <c r="BC244" s="74" t="s">
        <v>1309</v>
      </c>
      <c r="BD244" s="74" t="s">
        <v>1467</v>
      </c>
      <c r="BJ244" s="44"/>
      <c r="BK244" s="45"/>
      <c r="BL244" s="44"/>
      <c r="BM244" s="45"/>
      <c r="BN244" s="44"/>
      <c r="BO244" s="45"/>
      <c r="BP244" s="44"/>
      <c r="BQ244" s="45"/>
      <c r="BR244" s="44"/>
      <c r="BS244">
        <v>1</v>
      </c>
      <c r="BT244" s="112" t="str">
        <f>REPLACE(INDEX(GroupVertices[Group],MATCH("~"&amp;Edges[[#This Row],[Vertex 1]],GroupVertices[Vertex],0)),1,1,"")</f>
        <v>14</v>
      </c>
      <c r="BU244" s="112" t="str">
        <f>REPLACE(INDEX(GroupVertices[Group],MATCH("~"&amp;Edges[[#This Row],[Vertex 2]],GroupVertices[Vertex],0)),1,1,"")</f>
        <v>14</v>
      </c>
    </row>
    <row r="245" spans="1:73" ht="15">
      <c r="A245" s="59" t="s">
        <v>317</v>
      </c>
      <c r="B245" s="59" t="s">
        <v>474</v>
      </c>
      <c r="C245" s="60"/>
      <c r="D245" s="61"/>
      <c r="E245" s="62"/>
      <c r="F245" s="63"/>
      <c r="G245" s="60"/>
      <c r="H245" s="64"/>
      <c r="I245" s="65"/>
      <c r="J245" s="65"/>
      <c r="K245" s="30" t="s">
        <v>65</v>
      </c>
      <c r="L245" s="72">
        <v>245</v>
      </c>
      <c r="M2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5" s="67"/>
      <c r="O245" t="s">
        <v>483</v>
      </c>
      <c r="P245" s="73">
        <v>44580.196597222224</v>
      </c>
      <c r="Q245" t="s">
        <v>638</v>
      </c>
      <c r="R245">
        <v>0</v>
      </c>
      <c r="S245">
        <v>2</v>
      </c>
      <c r="T245">
        <v>1</v>
      </c>
      <c r="U245">
        <v>0</v>
      </c>
      <c r="Z245" t="s">
        <v>761</v>
      </c>
      <c r="AC245" s="74" t="s">
        <v>787</v>
      </c>
      <c r="AD245" t="s">
        <v>794</v>
      </c>
      <c r="AE245" s="75" t="str">
        <f>HYPERLINK("https://twitter.com/naylaazkiaa/status/1483661268859105280")</f>
        <v>https://twitter.com/naylaazkiaa/status/1483661268859105280</v>
      </c>
      <c r="AF245" s="73">
        <v>44580.196597222224</v>
      </c>
      <c r="AG245" s="77">
        <v>44580</v>
      </c>
      <c r="AH245" s="74" t="s">
        <v>952</v>
      </c>
      <c r="AV245" s="75" t="str">
        <f>HYPERLINK("https://pbs.twimg.com/profile_images/1439178090400256007/QzRHU2t-_normal.jpg")</f>
        <v>https://pbs.twimg.com/profile_images/1439178090400256007/QzRHU2t-_normal.jpg</v>
      </c>
      <c r="AW245" s="74" t="s">
        <v>1177</v>
      </c>
      <c r="AX245" s="74" t="s">
        <v>1309</v>
      </c>
      <c r="AY245" s="74" t="s">
        <v>1380</v>
      </c>
      <c r="AZ245" s="74" t="s">
        <v>1309</v>
      </c>
      <c r="BA245" s="74" t="s">
        <v>1384</v>
      </c>
      <c r="BB245" s="74" t="s">
        <v>1384</v>
      </c>
      <c r="BC245" s="74" t="s">
        <v>1309</v>
      </c>
      <c r="BD245" s="74" t="s">
        <v>1467</v>
      </c>
      <c r="BJ245" s="44"/>
      <c r="BK245" s="45"/>
      <c r="BL245" s="44"/>
      <c r="BM245" s="45"/>
      <c r="BN245" s="44"/>
      <c r="BO245" s="45"/>
      <c r="BP245" s="44"/>
      <c r="BQ245" s="45"/>
      <c r="BR245" s="44"/>
      <c r="BS245">
        <v>1</v>
      </c>
      <c r="BT245" s="112" t="str">
        <f>REPLACE(INDEX(GroupVertices[Group],MATCH("~"&amp;Edges[[#This Row],[Vertex 1]],GroupVertices[Vertex],0)),1,1,"")</f>
        <v>14</v>
      </c>
      <c r="BU245" s="112" t="str">
        <f>REPLACE(INDEX(GroupVertices[Group],MATCH("~"&amp;Edges[[#This Row],[Vertex 2]],GroupVertices[Vertex],0)),1,1,"")</f>
        <v>14</v>
      </c>
    </row>
    <row r="246" spans="1:73" ht="15">
      <c r="A246" s="59" t="s">
        <v>317</v>
      </c>
      <c r="B246" s="59" t="s">
        <v>475</v>
      </c>
      <c r="C246" s="60"/>
      <c r="D246" s="61"/>
      <c r="E246" s="62"/>
      <c r="F246" s="63"/>
      <c r="G246" s="60"/>
      <c r="H246" s="64"/>
      <c r="I246" s="65"/>
      <c r="J246" s="65"/>
      <c r="K246" s="30" t="s">
        <v>65</v>
      </c>
      <c r="L246" s="72">
        <v>246</v>
      </c>
      <c r="M2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6" s="67"/>
      <c r="O246" t="s">
        <v>482</v>
      </c>
      <c r="P246" s="73">
        <v>44580.196597222224</v>
      </c>
      <c r="Q246" t="s">
        <v>638</v>
      </c>
      <c r="R246">
        <v>0</v>
      </c>
      <c r="S246">
        <v>2</v>
      </c>
      <c r="T246">
        <v>1</v>
      </c>
      <c r="U246">
        <v>0</v>
      </c>
      <c r="Z246" t="s">
        <v>761</v>
      </c>
      <c r="AC246" s="74" t="s">
        <v>787</v>
      </c>
      <c r="AD246" t="s">
        <v>794</v>
      </c>
      <c r="AE246" s="75" t="str">
        <f>HYPERLINK("https://twitter.com/naylaazkiaa/status/1483661268859105280")</f>
        <v>https://twitter.com/naylaazkiaa/status/1483661268859105280</v>
      </c>
      <c r="AF246" s="73">
        <v>44580.196597222224</v>
      </c>
      <c r="AG246" s="77">
        <v>44580</v>
      </c>
      <c r="AH246" s="74" t="s">
        <v>952</v>
      </c>
      <c r="AV246" s="75" t="str">
        <f>HYPERLINK("https://pbs.twimg.com/profile_images/1439178090400256007/QzRHU2t-_normal.jpg")</f>
        <v>https://pbs.twimg.com/profile_images/1439178090400256007/QzRHU2t-_normal.jpg</v>
      </c>
      <c r="AW246" s="74" t="s">
        <v>1177</v>
      </c>
      <c r="AX246" s="74" t="s">
        <v>1309</v>
      </c>
      <c r="AY246" s="74" t="s">
        <v>1380</v>
      </c>
      <c r="AZ246" s="74" t="s">
        <v>1309</v>
      </c>
      <c r="BA246" s="74" t="s">
        <v>1384</v>
      </c>
      <c r="BB246" s="74" t="s">
        <v>1384</v>
      </c>
      <c r="BC246" s="74" t="s">
        <v>1309</v>
      </c>
      <c r="BD246" s="74" t="s">
        <v>1467</v>
      </c>
      <c r="BJ246" s="44">
        <v>6</v>
      </c>
      <c r="BK246" s="45">
        <v>17.142857142857142</v>
      </c>
      <c r="BL246" s="44">
        <v>0</v>
      </c>
      <c r="BM246" s="45">
        <v>0</v>
      </c>
      <c r="BN246" s="44">
        <v>0</v>
      </c>
      <c r="BO246" s="45">
        <v>0</v>
      </c>
      <c r="BP246" s="44">
        <v>29</v>
      </c>
      <c r="BQ246" s="45">
        <v>82.85714285714286</v>
      </c>
      <c r="BR246" s="44">
        <v>35</v>
      </c>
      <c r="BS246">
        <v>1</v>
      </c>
      <c r="BT246" s="112" t="str">
        <f>REPLACE(INDEX(GroupVertices[Group],MATCH("~"&amp;Edges[[#This Row],[Vertex 1]],GroupVertices[Vertex],0)),1,1,"")</f>
        <v>14</v>
      </c>
      <c r="BU246" s="112" t="str">
        <f>REPLACE(INDEX(GroupVertices[Group],MATCH("~"&amp;Edges[[#This Row],[Vertex 2]],GroupVertices[Vertex],0)),1,1,"")</f>
        <v>14</v>
      </c>
    </row>
    <row r="247" spans="1:73" ht="15">
      <c r="A247" s="59" t="s">
        <v>318</v>
      </c>
      <c r="B247" s="59" t="s">
        <v>318</v>
      </c>
      <c r="C247" s="60"/>
      <c r="D247" s="61"/>
      <c r="E247" s="62"/>
      <c r="F247" s="63"/>
      <c r="G247" s="60"/>
      <c r="H247" s="64"/>
      <c r="I247" s="65"/>
      <c r="J247" s="65"/>
      <c r="K247" s="30" t="s">
        <v>65</v>
      </c>
      <c r="L247" s="72">
        <v>247</v>
      </c>
      <c r="M2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7" s="67"/>
      <c r="O247" t="s">
        <v>177</v>
      </c>
      <c r="P247" s="73">
        <v>44563.782743055555</v>
      </c>
      <c r="Q247" t="s">
        <v>639</v>
      </c>
      <c r="R247">
        <v>888</v>
      </c>
      <c r="S247">
        <v>4828</v>
      </c>
      <c r="T247">
        <v>873</v>
      </c>
      <c r="U247">
        <v>138</v>
      </c>
      <c r="AC247" s="74" t="s">
        <v>786</v>
      </c>
      <c r="AD247" t="s">
        <v>794</v>
      </c>
      <c r="AE247" s="75" t="str">
        <f>HYPERLINK("https://twitter.com/reflyhz/status/1477713089839570945")</f>
        <v>https://twitter.com/reflyhz/status/1477713089839570945</v>
      </c>
      <c r="AF247" s="73">
        <v>44563.782743055555</v>
      </c>
      <c r="AG247" s="77">
        <v>44563</v>
      </c>
      <c r="AH247" s="74" t="s">
        <v>953</v>
      </c>
      <c r="AV247" s="75" t="str">
        <f>HYPERLINK("https://pbs.twimg.com/profile_images/1214626093501538305/VyCT9vZX_normal.jpg")</f>
        <v>https://pbs.twimg.com/profile_images/1214626093501538305/VyCT9vZX_normal.jpg</v>
      </c>
      <c r="AW247" s="74" t="s">
        <v>1178</v>
      </c>
      <c r="AX247" s="74" t="s">
        <v>1178</v>
      </c>
      <c r="AZ247" s="74" t="s">
        <v>1384</v>
      </c>
      <c r="BA247" s="74" t="s">
        <v>1384</v>
      </c>
      <c r="BB247" s="74" t="s">
        <v>1384</v>
      </c>
      <c r="BC247" s="74" t="s">
        <v>1178</v>
      </c>
      <c r="BD247">
        <v>185116088</v>
      </c>
      <c r="BJ247" s="44">
        <v>0</v>
      </c>
      <c r="BK247" s="45">
        <v>0</v>
      </c>
      <c r="BL247" s="44">
        <v>0</v>
      </c>
      <c r="BM247" s="45">
        <v>0</v>
      </c>
      <c r="BN247" s="44">
        <v>0</v>
      </c>
      <c r="BO247" s="45">
        <v>0</v>
      </c>
      <c r="BP247" s="44">
        <v>17</v>
      </c>
      <c r="BQ247" s="45">
        <v>100</v>
      </c>
      <c r="BR247" s="44">
        <v>17</v>
      </c>
      <c r="BS247">
        <v>8</v>
      </c>
      <c r="BT247" s="112" t="str">
        <f>REPLACE(INDEX(GroupVertices[Group],MATCH("~"&amp;Edges[[#This Row],[Vertex 1]],GroupVertices[Vertex],0)),1,1,"")</f>
        <v>9</v>
      </c>
      <c r="BU247" s="112" t="str">
        <f>REPLACE(INDEX(GroupVertices[Group],MATCH("~"&amp;Edges[[#This Row],[Vertex 2]],GroupVertices[Vertex],0)),1,1,"")</f>
        <v>9</v>
      </c>
    </row>
    <row r="248" spans="1:73" ht="15">
      <c r="A248" s="59" t="s">
        <v>319</v>
      </c>
      <c r="B248" s="59" t="s">
        <v>318</v>
      </c>
      <c r="C248" s="60"/>
      <c r="D248" s="61"/>
      <c r="E248" s="62"/>
      <c r="F248" s="63"/>
      <c r="G248" s="60"/>
      <c r="H248" s="64"/>
      <c r="I248" s="65"/>
      <c r="J248" s="65"/>
      <c r="K248" s="30" t="s">
        <v>65</v>
      </c>
      <c r="L248" s="72">
        <v>248</v>
      </c>
      <c r="M2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8" s="67"/>
      <c r="O248" t="s">
        <v>482</v>
      </c>
      <c r="P248" s="73">
        <v>44574.42431712963</v>
      </c>
      <c r="Q248" t="s">
        <v>640</v>
      </c>
      <c r="R248">
        <v>0</v>
      </c>
      <c r="S248">
        <v>3</v>
      </c>
      <c r="T248">
        <v>0</v>
      </c>
      <c r="U248">
        <v>0</v>
      </c>
      <c r="W248" s="74" t="s">
        <v>682</v>
      </c>
      <c r="Z248" t="s">
        <v>762</v>
      </c>
      <c r="AC248" s="74" t="s">
        <v>787</v>
      </c>
      <c r="AD248" t="s">
        <v>794</v>
      </c>
      <c r="AE248" s="75" t="str">
        <f>HYPERLINK("https://twitter.com/jokolipservice/status/1481569463841746946")</f>
        <v>https://twitter.com/jokolipservice/status/1481569463841746946</v>
      </c>
      <c r="AF248" s="73">
        <v>44574.42431712963</v>
      </c>
      <c r="AG248" s="77">
        <v>44574</v>
      </c>
      <c r="AH248" s="74" t="s">
        <v>954</v>
      </c>
      <c r="AV248" s="75" t="str">
        <f>HYPERLINK("https://pbs.twimg.com/profile_images/1720824613675163648/qp2uj9Te_normal.jpg")</f>
        <v>https://pbs.twimg.com/profile_images/1720824613675163648/qp2uj9Te_normal.jpg</v>
      </c>
      <c r="AW248" s="74" t="s">
        <v>1180</v>
      </c>
      <c r="AX248" s="74" t="s">
        <v>1179</v>
      </c>
      <c r="AY248" s="74" t="s">
        <v>1334</v>
      </c>
      <c r="AZ248" s="74" t="s">
        <v>1179</v>
      </c>
      <c r="BA248" s="74" t="s">
        <v>1384</v>
      </c>
      <c r="BB248" s="74" t="s">
        <v>1384</v>
      </c>
      <c r="BC248" s="74" t="s">
        <v>1179</v>
      </c>
      <c r="BD248">
        <v>2377644162</v>
      </c>
      <c r="BJ248" s="44">
        <v>2</v>
      </c>
      <c r="BK248" s="45">
        <v>28.571428571428573</v>
      </c>
      <c r="BL248" s="44">
        <v>0</v>
      </c>
      <c r="BM248" s="45">
        <v>0</v>
      </c>
      <c r="BN248" s="44">
        <v>0</v>
      </c>
      <c r="BO248" s="45">
        <v>0</v>
      </c>
      <c r="BP248" s="44">
        <v>5</v>
      </c>
      <c r="BQ248" s="45">
        <v>71.42857142857143</v>
      </c>
      <c r="BR248" s="44">
        <v>7</v>
      </c>
      <c r="BS248">
        <v>1</v>
      </c>
      <c r="BT248" s="112" t="str">
        <f>REPLACE(INDEX(GroupVertices[Group],MATCH("~"&amp;Edges[[#This Row],[Vertex 1]],GroupVertices[Vertex],0)),1,1,"")</f>
        <v>9</v>
      </c>
      <c r="BU248" s="112" t="str">
        <f>REPLACE(INDEX(GroupVertices[Group],MATCH("~"&amp;Edges[[#This Row],[Vertex 2]],GroupVertices[Vertex],0)),1,1,"")</f>
        <v>9</v>
      </c>
    </row>
    <row r="249" spans="1:73" ht="15">
      <c r="A249" s="59" t="s">
        <v>320</v>
      </c>
      <c r="B249" s="59" t="s">
        <v>320</v>
      </c>
      <c r="C249" s="60"/>
      <c r="D249" s="61"/>
      <c r="E249" s="62"/>
      <c r="F249" s="63"/>
      <c r="G249" s="60"/>
      <c r="H249" s="64"/>
      <c r="I249" s="65"/>
      <c r="J249" s="65"/>
      <c r="K249" s="30" t="s">
        <v>65</v>
      </c>
      <c r="L249" s="72">
        <v>249</v>
      </c>
      <c r="M2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9" s="67"/>
      <c r="O249" t="s">
        <v>177</v>
      </c>
      <c r="P249" s="73">
        <v>44615.64916666667</v>
      </c>
      <c r="Q249" t="s">
        <v>641</v>
      </c>
      <c r="R249">
        <v>1549</v>
      </c>
      <c r="S249">
        <v>4352</v>
      </c>
      <c r="T249">
        <v>728</v>
      </c>
      <c r="U249">
        <v>281</v>
      </c>
      <c r="AA249" t="s">
        <v>777</v>
      </c>
      <c r="AB249" t="s">
        <v>785</v>
      </c>
      <c r="AC249" s="74" t="s">
        <v>787</v>
      </c>
      <c r="AD249" t="s">
        <v>794</v>
      </c>
      <c r="AE249" s="75" t="str">
        <f>HYPERLINK("https://twitter.com/krmtroysuryo2/status/1496508851952451586")</f>
        <v>https://twitter.com/krmtroysuryo2/status/1496508851952451586</v>
      </c>
      <c r="AF249" s="73">
        <v>44615.64916666667</v>
      </c>
      <c r="AG249" s="77">
        <v>44615</v>
      </c>
      <c r="AH249" s="74" t="s">
        <v>955</v>
      </c>
      <c r="AI249" t="b">
        <v>0</v>
      </c>
      <c r="AQ249" t="s">
        <v>1015</v>
      </c>
      <c r="AV249" s="75" t="str">
        <f>HYPERLINK("https://pbs.twimg.com/media/FMSq17aUUAIvozT.jpg")</f>
        <v>https://pbs.twimg.com/media/FMSq17aUUAIvozT.jpg</v>
      </c>
      <c r="AW249" s="74" t="s">
        <v>1181</v>
      </c>
      <c r="AX249" s="74" t="s">
        <v>1181</v>
      </c>
      <c r="AZ249" s="74" t="s">
        <v>1384</v>
      </c>
      <c r="BA249" s="74" t="s">
        <v>1384</v>
      </c>
      <c r="BB249" s="74" t="s">
        <v>1384</v>
      </c>
      <c r="BC249" s="74" t="s">
        <v>1181</v>
      </c>
      <c r="BD249" s="74" t="s">
        <v>1468</v>
      </c>
      <c r="BJ249" s="44">
        <v>2</v>
      </c>
      <c r="BK249" s="45">
        <v>5.128205128205129</v>
      </c>
      <c r="BL249" s="44">
        <v>1</v>
      </c>
      <c r="BM249" s="45">
        <v>2.5641025641025643</v>
      </c>
      <c r="BN249" s="44">
        <v>0</v>
      </c>
      <c r="BO249" s="45">
        <v>0</v>
      </c>
      <c r="BP249" s="44">
        <v>36</v>
      </c>
      <c r="BQ249" s="45">
        <v>92.3076923076923</v>
      </c>
      <c r="BR249" s="44">
        <v>39</v>
      </c>
      <c r="BS249">
        <v>1</v>
      </c>
      <c r="BT249" s="112" t="str">
        <f>REPLACE(INDEX(GroupVertices[Group],MATCH("~"&amp;Edges[[#This Row],[Vertex 1]],GroupVertices[Vertex],0)),1,1,"")</f>
        <v>38</v>
      </c>
      <c r="BU249" s="112" t="str">
        <f>REPLACE(INDEX(GroupVertices[Group],MATCH("~"&amp;Edges[[#This Row],[Vertex 2]],GroupVertices[Vertex],0)),1,1,"")</f>
        <v>38</v>
      </c>
    </row>
    <row r="250" spans="1:73" ht="15">
      <c r="A250" s="59" t="s">
        <v>321</v>
      </c>
      <c r="B250" s="59" t="s">
        <v>476</v>
      </c>
      <c r="C250" s="60"/>
      <c r="D250" s="61"/>
      <c r="E250" s="62"/>
      <c r="F250" s="63"/>
      <c r="G250" s="60"/>
      <c r="H250" s="64"/>
      <c r="I250" s="65"/>
      <c r="J250" s="65"/>
      <c r="K250" s="30" t="s">
        <v>65</v>
      </c>
      <c r="L250" s="72">
        <v>250</v>
      </c>
      <c r="M2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0" s="67"/>
      <c r="O250" t="s">
        <v>485</v>
      </c>
      <c r="P250" s="73">
        <v>44586.09512731482</v>
      </c>
      <c r="Q250" t="s">
        <v>642</v>
      </c>
      <c r="R250">
        <v>0</v>
      </c>
      <c r="S250">
        <v>0</v>
      </c>
      <c r="T250">
        <v>0</v>
      </c>
      <c r="U250">
        <v>0</v>
      </c>
      <c r="W250" s="74" t="s">
        <v>682</v>
      </c>
      <c r="Z250" t="s">
        <v>476</v>
      </c>
      <c r="AC250" s="74" t="s">
        <v>787</v>
      </c>
      <c r="AD250" t="s">
        <v>794</v>
      </c>
      <c r="AE250" s="75" t="str">
        <f>HYPERLINK("https://twitter.com/nasirudin_manan/status/1485798827416518658")</f>
        <v>https://twitter.com/nasirudin_manan/status/1485798827416518658</v>
      </c>
      <c r="AF250" s="73">
        <v>44586.09512731482</v>
      </c>
      <c r="AG250" s="77">
        <v>44586</v>
      </c>
      <c r="AH250" s="74" t="s">
        <v>956</v>
      </c>
      <c r="AV250" s="75" t="str">
        <f>HYPERLINK("https://pbs.twimg.com/profile_images/1690969260951281664/qNfddUQH_normal.jpg")</f>
        <v>https://pbs.twimg.com/profile_images/1690969260951281664/qNfddUQH_normal.jpg</v>
      </c>
      <c r="AW250" s="74" t="s">
        <v>1182</v>
      </c>
      <c r="AX250" s="74" t="s">
        <v>1182</v>
      </c>
      <c r="AZ250" s="74" t="s">
        <v>1384</v>
      </c>
      <c r="BA250" s="74" t="s">
        <v>1183</v>
      </c>
      <c r="BB250" s="74" t="s">
        <v>1384</v>
      </c>
      <c r="BC250" s="74" t="s">
        <v>1183</v>
      </c>
      <c r="BD250" s="74" t="s">
        <v>1469</v>
      </c>
      <c r="BJ250" s="44"/>
      <c r="BK250" s="45"/>
      <c r="BL250" s="44"/>
      <c r="BM250" s="45"/>
      <c r="BN250" s="44"/>
      <c r="BO250" s="45"/>
      <c r="BP250" s="44"/>
      <c r="BQ250" s="45"/>
      <c r="BR250" s="44"/>
      <c r="BS250">
        <v>1</v>
      </c>
      <c r="BT250" s="112" t="str">
        <f>REPLACE(INDEX(GroupVertices[Group],MATCH("~"&amp;Edges[[#This Row],[Vertex 1]],GroupVertices[Vertex],0)),1,1,"")</f>
        <v>18</v>
      </c>
      <c r="BU250" s="112" t="str">
        <f>REPLACE(INDEX(GroupVertices[Group],MATCH("~"&amp;Edges[[#This Row],[Vertex 2]],GroupVertices[Vertex],0)),1,1,"")</f>
        <v>18</v>
      </c>
    </row>
    <row r="251" spans="1:73" ht="15">
      <c r="A251" s="59" t="s">
        <v>321</v>
      </c>
      <c r="B251" s="59" t="s">
        <v>322</v>
      </c>
      <c r="C251" s="60"/>
      <c r="D251" s="61"/>
      <c r="E251" s="62"/>
      <c r="F251" s="63"/>
      <c r="G251" s="60"/>
      <c r="H251" s="64"/>
      <c r="I251" s="65"/>
      <c r="J251" s="65"/>
      <c r="K251" s="30" t="s">
        <v>65</v>
      </c>
      <c r="L251" s="72">
        <v>251</v>
      </c>
      <c r="M2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1" s="67"/>
      <c r="O251" t="s">
        <v>484</v>
      </c>
      <c r="P251" s="73">
        <v>44586.09512731482</v>
      </c>
      <c r="Q251" t="s">
        <v>642</v>
      </c>
      <c r="R251">
        <v>0</v>
      </c>
      <c r="S251">
        <v>0</v>
      </c>
      <c r="T251">
        <v>0</v>
      </c>
      <c r="U251">
        <v>0</v>
      </c>
      <c r="W251" s="74" t="s">
        <v>682</v>
      </c>
      <c r="Z251" t="s">
        <v>476</v>
      </c>
      <c r="AC251" s="74" t="s">
        <v>787</v>
      </c>
      <c r="AD251" t="s">
        <v>794</v>
      </c>
      <c r="AE251" s="75" t="str">
        <f>HYPERLINK("https://twitter.com/nasirudin_manan/status/1485798827416518658")</f>
        <v>https://twitter.com/nasirudin_manan/status/1485798827416518658</v>
      </c>
      <c r="AF251" s="73">
        <v>44586.09512731482</v>
      </c>
      <c r="AG251" s="77">
        <v>44586</v>
      </c>
      <c r="AH251" s="74" t="s">
        <v>956</v>
      </c>
      <c r="AV251" s="75" t="str">
        <f>HYPERLINK("https://pbs.twimg.com/profile_images/1690969260951281664/qNfddUQH_normal.jpg")</f>
        <v>https://pbs.twimg.com/profile_images/1690969260951281664/qNfddUQH_normal.jpg</v>
      </c>
      <c r="AW251" s="74" t="s">
        <v>1182</v>
      </c>
      <c r="AX251" s="74" t="s">
        <v>1182</v>
      </c>
      <c r="AZ251" s="74" t="s">
        <v>1384</v>
      </c>
      <c r="BA251" s="74" t="s">
        <v>1183</v>
      </c>
      <c r="BB251" s="74" t="s">
        <v>1384</v>
      </c>
      <c r="BC251" s="74" t="s">
        <v>1183</v>
      </c>
      <c r="BD251" s="74" t="s">
        <v>1469</v>
      </c>
      <c r="BJ251" s="44">
        <v>1</v>
      </c>
      <c r="BK251" s="45">
        <v>10</v>
      </c>
      <c r="BL251" s="44">
        <v>0</v>
      </c>
      <c r="BM251" s="45">
        <v>0</v>
      </c>
      <c r="BN251" s="44">
        <v>0</v>
      </c>
      <c r="BO251" s="45">
        <v>0</v>
      </c>
      <c r="BP251" s="44">
        <v>9</v>
      </c>
      <c r="BQ251" s="45">
        <v>90</v>
      </c>
      <c r="BR251" s="44">
        <v>10</v>
      </c>
      <c r="BS251">
        <v>1</v>
      </c>
      <c r="BT251" s="112" t="str">
        <f>REPLACE(INDEX(GroupVertices[Group],MATCH("~"&amp;Edges[[#This Row],[Vertex 1]],GroupVertices[Vertex],0)),1,1,"")</f>
        <v>18</v>
      </c>
      <c r="BU251" s="112" t="str">
        <f>REPLACE(INDEX(GroupVertices[Group],MATCH("~"&amp;Edges[[#This Row],[Vertex 2]],GroupVertices[Vertex],0)),1,1,"")</f>
        <v>18</v>
      </c>
    </row>
    <row r="252" spans="1:73" ht="15">
      <c r="A252" s="59" t="s">
        <v>322</v>
      </c>
      <c r="B252" s="59" t="s">
        <v>322</v>
      </c>
      <c r="C252" s="60"/>
      <c r="D252" s="61"/>
      <c r="E252" s="62"/>
      <c r="F252" s="63"/>
      <c r="G252" s="60"/>
      <c r="H252" s="64"/>
      <c r="I252" s="65"/>
      <c r="J252" s="65"/>
      <c r="K252" s="30" t="s">
        <v>65</v>
      </c>
      <c r="L252" s="72">
        <v>252</v>
      </c>
      <c r="M2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2" s="67"/>
      <c r="O252" t="s">
        <v>177</v>
      </c>
      <c r="P252" s="73">
        <v>44586.089907407404</v>
      </c>
      <c r="Q252" t="s">
        <v>643</v>
      </c>
      <c r="R252">
        <v>136</v>
      </c>
      <c r="S252">
        <v>1062</v>
      </c>
      <c r="T252">
        <v>174</v>
      </c>
      <c r="U252">
        <v>30</v>
      </c>
      <c r="AC252" s="74" t="s">
        <v>787</v>
      </c>
      <c r="AD252" t="s">
        <v>794</v>
      </c>
      <c r="AE252" s="75" t="str">
        <f>HYPERLINK("https://twitter.com/fahrihamzah/status/1485796934308986880")</f>
        <v>https://twitter.com/fahrihamzah/status/1485796934308986880</v>
      </c>
      <c r="AF252" s="73">
        <v>44586.089907407404</v>
      </c>
      <c r="AG252" s="77">
        <v>44586</v>
      </c>
      <c r="AH252" s="74" t="s">
        <v>957</v>
      </c>
      <c r="AV252" s="75" t="str">
        <f>HYPERLINK("https://pbs.twimg.com/profile_images/1371238762185854983/ll_44DLi_normal.jpg")</f>
        <v>https://pbs.twimg.com/profile_images/1371238762185854983/ll_44DLi_normal.jpg</v>
      </c>
      <c r="AW252" s="74" t="s">
        <v>1183</v>
      </c>
      <c r="AX252" s="74" t="s">
        <v>1183</v>
      </c>
      <c r="AZ252" s="74" t="s">
        <v>1384</v>
      </c>
      <c r="BA252" s="74" t="s">
        <v>1384</v>
      </c>
      <c r="BB252" s="74" t="s">
        <v>1384</v>
      </c>
      <c r="BC252" s="74" t="s">
        <v>1183</v>
      </c>
      <c r="BD252">
        <v>120968478</v>
      </c>
      <c r="BJ252" s="44">
        <v>3</v>
      </c>
      <c r="BK252" s="45">
        <v>7.317073170731708</v>
      </c>
      <c r="BL252" s="44">
        <v>0</v>
      </c>
      <c r="BM252" s="45">
        <v>0</v>
      </c>
      <c r="BN252" s="44">
        <v>0</v>
      </c>
      <c r="BO252" s="45">
        <v>0</v>
      </c>
      <c r="BP252" s="44">
        <v>38</v>
      </c>
      <c r="BQ252" s="45">
        <v>92.6829268292683</v>
      </c>
      <c r="BR252" s="44">
        <v>41</v>
      </c>
      <c r="BS252">
        <v>1</v>
      </c>
      <c r="BT252" s="112" t="str">
        <f>REPLACE(INDEX(GroupVertices[Group],MATCH("~"&amp;Edges[[#This Row],[Vertex 1]],GroupVertices[Vertex],0)),1,1,"")</f>
        <v>18</v>
      </c>
      <c r="BU252" s="112" t="str">
        <f>REPLACE(INDEX(GroupVertices[Group],MATCH("~"&amp;Edges[[#This Row],[Vertex 2]],GroupVertices[Vertex],0)),1,1,"")</f>
        <v>18</v>
      </c>
    </row>
    <row r="253" spans="1:73" ht="15">
      <c r="A253" s="59" t="s">
        <v>323</v>
      </c>
      <c r="B253" s="59" t="s">
        <v>322</v>
      </c>
      <c r="C253" s="60"/>
      <c r="D253" s="61"/>
      <c r="E253" s="62"/>
      <c r="F253" s="63"/>
      <c r="G253" s="60"/>
      <c r="H253" s="64"/>
      <c r="I253" s="65"/>
      <c r="J253" s="65"/>
      <c r="K253" s="30" t="s">
        <v>65</v>
      </c>
      <c r="L253" s="72">
        <v>253</v>
      </c>
      <c r="M2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3" s="67"/>
      <c r="O253" t="s">
        <v>482</v>
      </c>
      <c r="P253" s="73">
        <v>44930.34607638889</v>
      </c>
      <c r="Q253" t="s">
        <v>644</v>
      </c>
      <c r="R253">
        <v>0</v>
      </c>
      <c r="S253">
        <v>5</v>
      </c>
      <c r="T253">
        <v>1</v>
      </c>
      <c r="U253">
        <v>0</v>
      </c>
      <c r="V253">
        <v>4837</v>
      </c>
      <c r="Z253" t="s">
        <v>322</v>
      </c>
      <c r="AC253" s="74" t="s">
        <v>787</v>
      </c>
      <c r="AD253" t="s">
        <v>794</v>
      </c>
      <c r="AE253" s="75" t="str">
        <f>HYPERLINK("https://twitter.com/rachman_ayah/status/1610551191850881027")</f>
        <v>https://twitter.com/rachman_ayah/status/1610551191850881027</v>
      </c>
      <c r="AF253" s="73">
        <v>44930.34607638889</v>
      </c>
      <c r="AG253" s="77">
        <v>44930</v>
      </c>
      <c r="AH253" s="74" t="s">
        <v>958</v>
      </c>
      <c r="AV253" s="75" t="str">
        <f>HYPERLINK("https://pbs.twimg.com/profile_images/1464279451563397122/ZnNNWFJ__normal.png")</f>
        <v>https://pbs.twimg.com/profile_images/1464279451563397122/ZnNNWFJ__normal.png</v>
      </c>
      <c r="AW253" s="74" t="s">
        <v>1184</v>
      </c>
      <c r="AX253" s="74" t="s">
        <v>1310</v>
      </c>
      <c r="AY253" s="74" t="s">
        <v>1381</v>
      </c>
      <c r="AZ253" s="74" t="s">
        <v>1310</v>
      </c>
      <c r="BA253" s="74" t="s">
        <v>1384</v>
      </c>
      <c r="BB253" s="74" t="s">
        <v>1384</v>
      </c>
      <c r="BC253" s="74" t="s">
        <v>1310</v>
      </c>
      <c r="BD253" s="74" t="s">
        <v>1470</v>
      </c>
      <c r="BJ253" s="44">
        <v>7</v>
      </c>
      <c r="BK253" s="45">
        <v>20.58823529411765</v>
      </c>
      <c r="BL253" s="44">
        <v>3</v>
      </c>
      <c r="BM253" s="45">
        <v>8.823529411764707</v>
      </c>
      <c r="BN253" s="44">
        <v>0</v>
      </c>
      <c r="BO253" s="45">
        <v>0</v>
      </c>
      <c r="BP253" s="44">
        <v>24</v>
      </c>
      <c r="BQ253" s="45">
        <v>70.58823529411765</v>
      </c>
      <c r="BR253" s="44">
        <v>34</v>
      </c>
      <c r="BS253">
        <v>1</v>
      </c>
      <c r="BT253" s="112" t="str">
        <f>REPLACE(INDEX(GroupVertices[Group],MATCH("~"&amp;Edges[[#This Row],[Vertex 1]],GroupVertices[Vertex],0)),1,1,"")</f>
        <v>18</v>
      </c>
      <c r="BU253" s="112" t="str">
        <f>REPLACE(INDEX(GroupVertices[Group],MATCH("~"&amp;Edges[[#This Row],[Vertex 2]],GroupVertices[Vertex],0)),1,1,"")</f>
        <v>18</v>
      </c>
    </row>
    <row r="254" spans="1:73" ht="15">
      <c r="A254" s="59" t="s">
        <v>324</v>
      </c>
      <c r="B254" s="59" t="s">
        <v>324</v>
      </c>
      <c r="C254" s="60"/>
      <c r="D254" s="61"/>
      <c r="E254" s="62"/>
      <c r="F254" s="63"/>
      <c r="G254" s="60"/>
      <c r="H254" s="64"/>
      <c r="I254" s="65"/>
      <c r="J254" s="65"/>
      <c r="K254" s="30" t="s">
        <v>65</v>
      </c>
      <c r="L254" s="72">
        <v>254</v>
      </c>
      <c r="M2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4" s="67"/>
      <c r="O254" t="s">
        <v>177</v>
      </c>
      <c r="P254" s="73">
        <v>44595.5053125</v>
      </c>
      <c r="Q254" t="s">
        <v>645</v>
      </c>
      <c r="R254">
        <v>6</v>
      </c>
      <c r="S254">
        <v>17</v>
      </c>
      <c r="T254">
        <v>2</v>
      </c>
      <c r="U254">
        <v>2</v>
      </c>
      <c r="AA254" t="s">
        <v>778</v>
      </c>
      <c r="AB254" t="s">
        <v>784</v>
      </c>
      <c r="AC254" s="74" t="s">
        <v>787</v>
      </c>
      <c r="AD254" t="s">
        <v>794</v>
      </c>
      <c r="AE254" s="75" t="str">
        <f>HYPERLINK("https://twitter.com/dek_bintank/status/1489208963480842240")</f>
        <v>https://twitter.com/dek_bintank/status/1489208963480842240</v>
      </c>
      <c r="AF254" s="73">
        <v>44595.5053125</v>
      </c>
      <c r="AG254" s="77">
        <v>44595</v>
      </c>
      <c r="AH254" s="74" t="s">
        <v>959</v>
      </c>
      <c r="AI254" t="b">
        <v>0</v>
      </c>
      <c r="AQ254" t="s">
        <v>1016</v>
      </c>
      <c r="AR254">
        <v>107431</v>
      </c>
      <c r="AV254" s="75" t="str">
        <f>HYPERLINK("https://pbs.twimg.com/ext_tw_video_thumb/1489208786141454337/pu/img/_IiGT3yzOMR9XODZ.jpg")</f>
        <v>https://pbs.twimg.com/ext_tw_video_thumb/1489208786141454337/pu/img/_IiGT3yzOMR9XODZ.jpg</v>
      </c>
      <c r="AW254" s="74" t="s">
        <v>1185</v>
      </c>
      <c r="AX254" s="74" t="s">
        <v>1185</v>
      </c>
      <c r="AZ254" s="74" t="s">
        <v>1384</v>
      </c>
      <c r="BA254" s="74" t="s">
        <v>1384</v>
      </c>
      <c r="BB254" s="74" t="s">
        <v>1384</v>
      </c>
      <c r="BC254" s="74" t="s">
        <v>1185</v>
      </c>
      <c r="BD254" s="74" t="s">
        <v>1471</v>
      </c>
      <c r="BJ254" s="44">
        <v>3</v>
      </c>
      <c r="BK254" s="45">
        <v>27.272727272727273</v>
      </c>
      <c r="BL254" s="44">
        <v>0</v>
      </c>
      <c r="BM254" s="45">
        <v>0</v>
      </c>
      <c r="BN254" s="44">
        <v>0</v>
      </c>
      <c r="BO254" s="45">
        <v>0</v>
      </c>
      <c r="BP254" s="44">
        <v>8</v>
      </c>
      <c r="BQ254" s="45">
        <v>72.72727272727273</v>
      </c>
      <c r="BR254" s="44">
        <v>11</v>
      </c>
      <c r="BS254">
        <v>1</v>
      </c>
      <c r="BT254" s="112" t="str">
        <f>REPLACE(INDEX(GroupVertices[Group],MATCH("~"&amp;Edges[[#This Row],[Vertex 1]],GroupVertices[Vertex],0)),1,1,"")</f>
        <v>37</v>
      </c>
      <c r="BU254" s="112" t="str">
        <f>REPLACE(INDEX(GroupVertices[Group],MATCH("~"&amp;Edges[[#This Row],[Vertex 2]],GroupVertices[Vertex],0)),1,1,"")</f>
        <v>37</v>
      </c>
    </row>
    <row r="255" spans="1:73" ht="15">
      <c r="A255" s="59" t="s">
        <v>325</v>
      </c>
      <c r="B255" s="59" t="s">
        <v>324</v>
      </c>
      <c r="C255" s="60"/>
      <c r="D255" s="61"/>
      <c r="E255" s="62"/>
      <c r="F255" s="63"/>
      <c r="G255" s="60"/>
      <c r="H255" s="64"/>
      <c r="I255" s="65"/>
      <c r="J255" s="65"/>
      <c r="K255" s="30" t="s">
        <v>65</v>
      </c>
      <c r="L255" s="72">
        <v>255</v>
      </c>
      <c r="M2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5" s="67"/>
      <c r="O255" t="s">
        <v>484</v>
      </c>
      <c r="P255" s="73">
        <v>44595.89550925926</v>
      </c>
      <c r="Q255" t="s">
        <v>646</v>
      </c>
      <c r="R255">
        <v>0</v>
      </c>
      <c r="S255">
        <v>0</v>
      </c>
      <c r="T255">
        <v>0</v>
      </c>
      <c r="U255">
        <v>0</v>
      </c>
      <c r="AC255" s="74" t="s">
        <v>787</v>
      </c>
      <c r="AD255" t="s">
        <v>794</v>
      </c>
      <c r="AE255" s="75" t="str">
        <f>HYPERLINK("https://twitter.com/presedentbuzzer/status/1489350367054004224")</f>
        <v>https://twitter.com/presedentbuzzer/status/1489350367054004224</v>
      </c>
      <c r="AF255" s="73">
        <v>44595.89550925926</v>
      </c>
      <c r="AG255" s="77">
        <v>44595</v>
      </c>
      <c r="AH255" s="74" t="s">
        <v>960</v>
      </c>
      <c r="AV255" s="75" t="str">
        <f>HYPERLINK("https://pbs.twimg.com/profile_images/1410778214335619073/BBsUoxG1_normal.jpg")</f>
        <v>https://pbs.twimg.com/profile_images/1410778214335619073/BBsUoxG1_normal.jpg</v>
      </c>
      <c r="AW255" s="74" t="s">
        <v>1186</v>
      </c>
      <c r="AX255" s="74" t="s">
        <v>1186</v>
      </c>
      <c r="AZ255" s="74" t="s">
        <v>1384</v>
      </c>
      <c r="BA255" s="74" t="s">
        <v>1185</v>
      </c>
      <c r="BB255" s="74" t="s">
        <v>1384</v>
      </c>
      <c r="BC255" s="74" t="s">
        <v>1185</v>
      </c>
      <c r="BD255" s="74" t="s">
        <v>1472</v>
      </c>
      <c r="BJ255" s="44">
        <v>4</v>
      </c>
      <c r="BK255" s="45">
        <v>80</v>
      </c>
      <c r="BL255" s="44">
        <v>0</v>
      </c>
      <c r="BM255" s="45">
        <v>0</v>
      </c>
      <c r="BN255" s="44">
        <v>0</v>
      </c>
      <c r="BO255" s="45">
        <v>0</v>
      </c>
      <c r="BP255" s="44">
        <v>1</v>
      </c>
      <c r="BQ255" s="45">
        <v>20</v>
      </c>
      <c r="BR255" s="44">
        <v>5</v>
      </c>
      <c r="BS255">
        <v>1</v>
      </c>
      <c r="BT255" s="112" t="str">
        <f>REPLACE(INDEX(GroupVertices[Group],MATCH("~"&amp;Edges[[#This Row],[Vertex 1]],GroupVertices[Vertex],0)),1,1,"")</f>
        <v>37</v>
      </c>
      <c r="BU255" s="112" t="str">
        <f>REPLACE(INDEX(GroupVertices[Group],MATCH("~"&amp;Edges[[#This Row],[Vertex 2]],GroupVertices[Vertex],0)),1,1,"")</f>
        <v>37</v>
      </c>
    </row>
    <row r="256" spans="1:73" ht="15">
      <c r="A256" s="59" t="s">
        <v>326</v>
      </c>
      <c r="B256" s="59" t="s">
        <v>477</v>
      </c>
      <c r="C256" s="60"/>
      <c r="D256" s="61"/>
      <c r="E256" s="62"/>
      <c r="F256" s="63"/>
      <c r="G256" s="60"/>
      <c r="H256" s="64"/>
      <c r="I256" s="65"/>
      <c r="J256" s="65"/>
      <c r="K256" s="30" t="s">
        <v>65</v>
      </c>
      <c r="L256" s="72">
        <v>256</v>
      </c>
      <c r="M2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6" s="67"/>
      <c r="O256" t="s">
        <v>482</v>
      </c>
      <c r="P256" s="73">
        <v>44679.69924768519</v>
      </c>
      <c r="Q256" t="s">
        <v>647</v>
      </c>
      <c r="R256">
        <v>0</v>
      </c>
      <c r="S256">
        <v>0</v>
      </c>
      <c r="T256">
        <v>1</v>
      </c>
      <c r="U256">
        <v>0</v>
      </c>
      <c r="W256" s="74" t="s">
        <v>703</v>
      </c>
      <c r="Z256" t="s">
        <v>477</v>
      </c>
      <c r="AC256" s="74" t="s">
        <v>787</v>
      </c>
      <c r="AD256" t="s">
        <v>794</v>
      </c>
      <c r="AE256" s="75" t="str">
        <f>HYPERLINK("https://twitter.com/dikisoesanto/status/1519719824318164992")</f>
        <v>https://twitter.com/dikisoesanto/status/1519719824318164992</v>
      </c>
      <c r="AF256" s="73">
        <v>44679.69924768519</v>
      </c>
      <c r="AG256" s="77">
        <v>44679</v>
      </c>
      <c r="AH256" s="74" t="s">
        <v>961</v>
      </c>
      <c r="AV256" s="75" t="str">
        <f>HYPERLINK("https://pbs.twimg.com/profile_images/1516829290389655554/9sqvdRFL_normal.jpg")</f>
        <v>https://pbs.twimg.com/profile_images/1516829290389655554/9sqvdRFL_normal.jpg</v>
      </c>
      <c r="AW256" s="74" t="s">
        <v>1187</v>
      </c>
      <c r="AX256" s="74" t="s">
        <v>1311</v>
      </c>
      <c r="AY256" s="74" t="s">
        <v>1382</v>
      </c>
      <c r="AZ256" s="74" t="s">
        <v>1311</v>
      </c>
      <c r="BA256" s="74" t="s">
        <v>1384</v>
      </c>
      <c r="BB256" s="74" t="s">
        <v>1384</v>
      </c>
      <c r="BC256" s="74" t="s">
        <v>1311</v>
      </c>
      <c r="BD256">
        <v>1433255858</v>
      </c>
      <c r="BJ256" s="44">
        <v>0</v>
      </c>
      <c r="BK256" s="45">
        <v>0</v>
      </c>
      <c r="BL256" s="44">
        <v>0</v>
      </c>
      <c r="BM256" s="45">
        <v>0</v>
      </c>
      <c r="BN256" s="44">
        <v>0</v>
      </c>
      <c r="BO256" s="45">
        <v>0</v>
      </c>
      <c r="BP256" s="44">
        <v>22</v>
      </c>
      <c r="BQ256" s="45">
        <v>100</v>
      </c>
      <c r="BR256" s="44">
        <v>22</v>
      </c>
      <c r="BS256">
        <v>1</v>
      </c>
      <c r="BT256" s="112" t="str">
        <f>REPLACE(INDEX(GroupVertices[Group],MATCH("~"&amp;Edges[[#This Row],[Vertex 1]],GroupVertices[Vertex],0)),1,1,"")</f>
        <v>29</v>
      </c>
      <c r="BU256" s="112" t="str">
        <f>REPLACE(INDEX(GroupVertices[Group],MATCH("~"&amp;Edges[[#This Row],[Vertex 2]],GroupVertices[Vertex],0)),1,1,"")</f>
        <v>29</v>
      </c>
    </row>
    <row r="257" spans="1:73" ht="15">
      <c r="A257" s="59" t="s">
        <v>327</v>
      </c>
      <c r="B257" s="59" t="s">
        <v>327</v>
      </c>
      <c r="C257" s="60"/>
      <c r="D257" s="61"/>
      <c r="E257" s="62"/>
      <c r="F257" s="63"/>
      <c r="G257" s="60"/>
      <c r="H257" s="64"/>
      <c r="I257" s="65"/>
      <c r="J257" s="65"/>
      <c r="K257" s="30" t="s">
        <v>65</v>
      </c>
      <c r="L257" s="72">
        <v>257</v>
      </c>
      <c r="M2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7" s="67"/>
      <c r="O257" t="s">
        <v>177</v>
      </c>
      <c r="P257" s="73">
        <v>44574.97771990741</v>
      </c>
      <c r="Q257" t="s">
        <v>648</v>
      </c>
      <c r="R257">
        <v>7</v>
      </c>
      <c r="S257">
        <v>16</v>
      </c>
      <c r="T257">
        <v>1</v>
      </c>
      <c r="U257">
        <v>0</v>
      </c>
      <c r="W257" s="74" t="s">
        <v>683</v>
      </c>
      <c r="AA257" t="s">
        <v>779</v>
      </c>
      <c r="AB257" t="s">
        <v>783</v>
      </c>
      <c r="AC257" s="74" t="s">
        <v>787</v>
      </c>
      <c r="AD257" t="s">
        <v>797</v>
      </c>
      <c r="AE257" s="75" t="str">
        <f>HYPERLINK("https://twitter.com/salamduadj/status/1481770013724135424")</f>
        <v>https://twitter.com/salamduadj/status/1481770013724135424</v>
      </c>
      <c r="AF257" s="73">
        <v>44574.97771990741</v>
      </c>
      <c r="AG257" s="77">
        <v>44574</v>
      </c>
      <c r="AH257" s="74" t="s">
        <v>962</v>
      </c>
      <c r="AI257" t="b">
        <v>0</v>
      </c>
      <c r="AQ257" t="s">
        <v>1017</v>
      </c>
      <c r="AV257" s="75" t="str">
        <f>HYPERLINK("https://pbs.twimg.com/media/FJBN-XcaIAUmZmw.jpg")</f>
        <v>https://pbs.twimg.com/media/FJBN-XcaIAUmZmw.jpg</v>
      </c>
      <c r="AW257" s="74" t="s">
        <v>1188</v>
      </c>
      <c r="AX257" s="74" t="s">
        <v>1188</v>
      </c>
      <c r="AZ257" s="74" t="s">
        <v>1384</v>
      </c>
      <c r="BA257" s="74" t="s">
        <v>1384</v>
      </c>
      <c r="BB257" s="74" t="s">
        <v>1384</v>
      </c>
      <c r="BC257" s="74" t="s">
        <v>1188</v>
      </c>
      <c r="BD257" s="74" t="s">
        <v>1473</v>
      </c>
      <c r="BJ257" s="44">
        <v>3</v>
      </c>
      <c r="BK257" s="45">
        <v>33.333333333333336</v>
      </c>
      <c r="BL257" s="44">
        <v>0</v>
      </c>
      <c r="BM257" s="45">
        <v>0</v>
      </c>
      <c r="BN257" s="44">
        <v>0</v>
      </c>
      <c r="BO257" s="45">
        <v>0</v>
      </c>
      <c r="BP257" s="44">
        <v>6</v>
      </c>
      <c r="BQ257" s="45">
        <v>66.66666666666667</v>
      </c>
      <c r="BR257" s="44">
        <v>9</v>
      </c>
      <c r="BS257">
        <v>1</v>
      </c>
      <c r="BT257" s="112" t="str">
        <f>REPLACE(INDEX(GroupVertices[Group],MATCH("~"&amp;Edges[[#This Row],[Vertex 1]],GroupVertices[Vertex],0)),1,1,"")</f>
        <v>3</v>
      </c>
      <c r="BU257" s="112" t="str">
        <f>REPLACE(INDEX(GroupVertices[Group],MATCH("~"&amp;Edges[[#This Row],[Vertex 2]],GroupVertices[Vertex],0)),1,1,"")</f>
        <v>3</v>
      </c>
    </row>
    <row r="258" spans="1:73" ht="15">
      <c r="A258" s="59" t="s">
        <v>328</v>
      </c>
      <c r="B258" s="59" t="s">
        <v>328</v>
      </c>
      <c r="C258" s="60"/>
      <c r="D258" s="61"/>
      <c r="E258" s="62"/>
      <c r="F258" s="63"/>
      <c r="G258" s="60"/>
      <c r="H258" s="64"/>
      <c r="I258" s="65"/>
      <c r="J258" s="65"/>
      <c r="K258" s="30" t="s">
        <v>65</v>
      </c>
      <c r="L258" s="72">
        <v>258</v>
      </c>
      <c r="M2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8" s="67"/>
      <c r="O258" t="s">
        <v>177</v>
      </c>
      <c r="P258" s="73">
        <v>44593.57986111111</v>
      </c>
      <c r="Q258" t="s">
        <v>649</v>
      </c>
      <c r="R258">
        <v>309</v>
      </c>
      <c r="S258">
        <v>1155</v>
      </c>
      <c r="T258">
        <v>110</v>
      </c>
      <c r="U258">
        <v>31</v>
      </c>
      <c r="X258" s="75" t="str">
        <f>HYPERLINK("https://www.democrazy.id/2022/02/Proyek-IKN-Baru-Dikritik-Banyak-Kalangan-Refly-Harun-DPR-Tak-Berkutik-di-Hadapan-Jokowi.html")</f>
        <v>https://www.democrazy.id/2022/02/Proyek-IKN-Baru-Dikritik-Banyak-Kalangan-Refly-Harun-DPR-Tak-Berkutik-di-Hadapan-Jokowi.html</v>
      </c>
      <c r="Y258" t="s">
        <v>719</v>
      </c>
      <c r="AC258" s="74" t="s">
        <v>792</v>
      </c>
      <c r="AD258" t="s">
        <v>794</v>
      </c>
      <c r="AE258" s="75" t="str">
        <f>HYPERLINK("https://twitter.com/democrazymedia/status/1488511201390710790")</f>
        <v>https://twitter.com/democrazymedia/status/1488511201390710790</v>
      </c>
      <c r="AF258" s="73">
        <v>44593.57986111111</v>
      </c>
      <c r="AG258" s="77">
        <v>44593</v>
      </c>
      <c r="AH258" s="74" t="s">
        <v>963</v>
      </c>
      <c r="AI258" t="b">
        <v>0</v>
      </c>
      <c r="AV258" s="75" t="str">
        <f>HYPERLINK("https://pbs.twimg.com/profile_images/1480783321609113600/9C8OVc7R_normal.png")</f>
        <v>https://pbs.twimg.com/profile_images/1480783321609113600/9C8OVc7R_normal.png</v>
      </c>
      <c r="AW258" s="74" t="s">
        <v>1189</v>
      </c>
      <c r="AX258" s="74" t="s">
        <v>1189</v>
      </c>
      <c r="AZ258" s="74" t="s">
        <v>1384</v>
      </c>
      <c r="BA258" s="74" t="s">
        <v>1384</v>
      </c>
      <c r="BB258" s="74" t="s">
        <v>1384</v>
      </c>
      <c r="BC258" s="74" t="s">
        <v>1189</v>
      </c>
      <c r="BD258" s="74" t="s">
        <v>1318</v>
      </c>
      <c r="BJ258" s="44">
        <v>0</v>
      </c>
      <c r="BK258" s="45">
        <v>0</v>
      </c>
      <c r="BL258" s="44">
        <v>0</v>
      </c>
      <c r="BM258" s="45">
        <v>0</v>
      </c>
      <c r="BN258" s="44">
        <v>0</v>
      </c>
      <c r="BO258" s="45">
        <v>0</v>
      </c>
      <c r="BP258" s="44">
        <v>14</v>
      </c>
      <c r="BQ258" s="45">
        <v>100</v>
      </c>
      <c r="BR258" s="44">
        <v>14</v>
      </c>
      <c r="BS258">
        <v>8</v>
      </c>
      <c r="BT258" s="112" t="str">
        <f>REPLACE(INDEX(GroupVertices[Group],MATCH("~"&amp;Edges[[#This Row],[Vertex 1]],GroupVertices[Vertex],0)),1,1,"")</f>
        <v>19</v>
      </c>
      <c r="BU258" s="112" t="str">
        <f>REPLACE(INDEX(GroupVertices[Group],MATCH("~"&amp;Edges[[#This Row],[Vertex 2]],GroupVertices[Vertex],0)),1,1,"")</f>
        <v>19</v>
      </c>
    </row>
    <row r="259" spans="1:73" ht="15">
      <c r="A259" s="59" t="s">
        <v>329</v>
      </c>
      <c r="B259" s="59" t="s">
        <v>328</v>
      </c>
      <c r="C259" s="60"/>
      <c r="D259" s="61"/>
      <c r="E259" s="62"/>
      <c r="F259" s="63"/>
      <c r="G259" s="60"/>
      <c r="H259" s="64"/>
      <c r="I259" s="65"/>
      <c r="J259" s="65"/>
      <c r="K259" s="30" t="s">
        <v>65</v>
      </c>
      <c r="L259" s="72">
        <v>259</v>
      </c>
      <c r="M2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9" s="67"/>
      <c r="O259" t="s">
        <v>484</v>
      </c>
      <c r="P259" s="73">
        <v>44595.28171296296</v>
      </c>
      <c r="Q259" t="s">
        <v>650</v>
      </c>
      <c r="R259">
        <v>0</v>
      </c>
      <c r="S259">
        <v>0</v>
      </c>
      <c r="T259">
        <v>0</v>
      </c>
      <c r="U259">
        <v>0</v>
      </c>
      <c r="AC259" s="74" t="s">
        <v>789</v>
      </c>
      <c r="AD259" t="s">
        <v>794</v>
      </c>
      <c r="AE259" s="75" t="str">
        <f>HYPERLINK("https://twitter.com/pmf_qu/status/1489127932312186884")</f>
        <v>https://twitter.com/pmf_qu/status/1489127932312186884</v>
      </c>
      <c r="AF259" s="73">
        <v>44595.28171296296</v>
      </c>
      <c r="AG259" s="77">
        <v>44595</v>
      </c>
      <c r="AH259" s="74" t="s">
        <v>964</v>
      </c>
      <c r="AV259" s="75" t="str">
        <f>HYPERLINK("https://abs.twimg.com/sticky/default_profile_images/default_profile_normal.png")</f>
        <v>https://abs.twimg.com/sticky/default_profile_images/default_profile_normal.png</v>
      </c>
      <c r="AW259" s="74" t="s">
        <v>1191</v>
      </c>
      <c r="AX259" s="74" t="s">
        <v>1191</v>
      </c>
      <c r="AZ259" s="74" t="s">
        <v>1384</v>
      </c>
      <c r="BA259" s="74" t="s">
        <v>1189</v>
      </c>
      <c r="BB259" s="74" t="s">
        <v>1384</v>
      </c>
      <c r="BC259" s="74" t="s">
        <v>1189</v>
      </c>
      <c r="BD259" s="74" t="s">
        <v>1474</v>
      </c>
      <c r="BJ259" s="44">
        <v>3</v>
      </c>
      <c r="BK259" s="45">
        <v>25</v>
      </c>
      <c r="BL259" s="44">
        <v>1</v>
      </c>
      <c r="BM259" s="45">
        <v>8.333333333333334</v>
      </c>
      <c r="BN259" s="44">
        <v>0</v>
      </c>
      <c r="BO259" s="45">
        <v>0</v>
      </c>
      <c r="BP259" s="44">
        <v>8</v>
      </c>
      <c r="BQ259" s="45">
        <v>66.66666666666667</v>
      </c>
      <c r="BR259" s="44">
        <v>12</v>
      </c>
      <c r="BS259">
        <v>1</v>
      </c>
      <c r="BT259" s="112" t="str">
        <f>REPLACE(INDEX(GroupVertices[Group],MATCH("~"&amp;Edges[[#This Row],[Vertex 1]],GroupVertices[Vertex],0)),1,1,"")</f>
        <v>5</v>
      </c>
      <c r="BU259" s="112" t="str">
        <f>REPLACE(INDEX(GroupVertices[Group],MATCH("~"&amp;Edges[[#This Row],[Vertex 2]],GroupVertices[Vertex],0)),1,1,"")</f>
        <v>19</v>
      </c>
    </row>
    <row r="260" spans="1:73" ht="15">
      <c r="A260" s="59" t="s">
        <v>330</v>
      </c>
      <c r="B260" s="59" t="s">
        <v>330</v>
      </c>
      <c r="C260" s="60"/>
      <c r="D260" s="61"/>
      <c r="E260" s="62"/>
      <c r="F260" s="63"/>
      <c r="G260" s="60"/>
      <c r="H260" s="64"/>
      <c r="I260" s="65"/>
      <c r="J260" s="65"/>
      <c r="K260" s="30" t="s">
        <v>65</v>
      </c>
      <c r="L260" s="72">
        <v>260</v>
      </c>
      <c r="M2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0" s="67"/>
      <c r="O260" t="s">
        <v>177</v>
      </c>
      <c r="P260" s="73">
        <v>44605.56732638889</v>
      </c>
      <c r="Q260" t="s">
        <v>651</v>
      </c>
      <c r="R260">
        <v>483</v>
      </c>
      <c r="S260">
        <v>1166</v>
      </c>
      <c r="T260">
        <v>254</v>
      </c>
      <c r="U260">
        <v>113</v>
      </c>
      <c r="W260" s="74" t="s">
        <v>704</v>
      </c>
      <c r="X260" s="75" t="str">
        <f>HYPERLINK("https://bit.ly/3rJk6To")</f>
        <v>https://bit.ly/3rJk6To</v>
      </c>
      <c r="Y260" t="s">
        <v>720</v>
      </c>
      <c r="AC260" s="74" t="s">
        <v>792</v>
      </c>
      <c r="AD260" t="s">
        <v>794</v>
      </c>
      <c r="AE260" s="75" t="str">
        <f>HYPERLINK("https://twitter.com/tempodotco/status/1492855313321836544")</f>
        <v>https://twitter.com/tempodotco/status/1492855313321836544</v>
      </c>
      <c r="AF260" s="73">
        <v>44605.56732638889</v>
      </c>
      <c r="AG260" s="77">
        <v>44605</v>
      </c>
      <c r="AH260" s="74" t="s">
        <v>965</v>
      </c>
      <c r="AI260" t="b">
        <v>0</v>
      </c>
      <c r="AV260" s="75" t="str">
        <f>HYPERLINK("https://pbs.twimg.com/profile_images/1580466468629594112/Q-zcV6aQ_normal.jpg")</f>
        <v>https://pbs.twimg.com/profile_images/1580466468629594112/Q-zcV6aQ_normal.jpg</v>
      </c>
      <c r="AW260" s="74" t="s">
        <v>1192</v>
      </c>
      <c r="AX260" s="74" t="s">
        <v>1192</v>
      </c>
      <c r="AZ260" s="74" t="s">
        <v>1384</v>
      </c>
      <c r="BA260" s="74" t="s">
        <v>1384</v>
      </c>
      <c r="BB260" s="74" t="s">
        <v>1384</v>
      </c>
      <c r="BC260" s="74" t="s">
        <v>1192</v>
      </c>
      <c r="BD260">
        <v>18129942</v>
      </c>
      <c r="BJ260" s="44">
        <v>1</v>
      </c>
      <c r="BK260" s="45">
        <v>5</v>
      </c>
      <c r="BL260" s="44">
        <v>0</v>
      </c>
      <c r="BM260" s="45">
        <v>0</v>
      </c>
      <c r="BN260" s="44">
        <v>0</v>
      </c>
      <c r="BO260" s="45">
        <v>0</v>
      </c>
      <c r="BP260" s="44">
        <v>19</v>
      </c>
      <c r="BQ260" s="45">
        <v>95</v>
      </c>
      <c r="BR260" s="44">
        <v>20</v>
      </c>
      <c r="BS260">
        <v>1</v>
      </c>
      <c r="BT260" s="112" t="str">
        <f>REPLACE(INDEX(GroupVertices[Group],MATCH("~"&amp;Edges[[#This Row],[Vertex 1]],GroupVertices[Vertex],0)),1,1,"")</f>
        <v>5</v>
      </c>
      <c r="BU260" s="112" t="str">
        <f>REPLACE(INDEX(GroupVertices[Group],MATCH("~"&amp;Edges[[#This Row],[Vertex 2]],GroupVertices[Vertex],0)),1,1,"")</f>
        <v>5</v>
      </c>
    </row>
    <row r="261" spans="1:73" ht="15">
      <c r="A261" s="59" t="s">
        <v>329</v>
      </c>
      <c r="B261" s="59" t="s">
        <v>330</v>
      </c>
      <c r="C261" s="60"/>
      <c r="D261" s="61"/>
      <c r="E261" s="62"/>
      <c r="F261" s="63"/>
      <c r="G261" s="60"/>
      <c r="H261" s="64"/>
      <c r="I261" s="65"/>
      <c r="J261" s="65"/>
      <c r="K261" s="30" t="s">
        <v>65</v>
      </c>
      <c r="L261" s="72">
        <v>261</v>
      </c>
      <c r="M2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1" s="67"/>
      <c r="O261" t="s">
        <v>484</v>
      </c>
      <c r="P261" s="73">
        <v>44606.5678125</v>
      </c>
      <c r="Q261" t="s">
        <v>652</v>
      </c>
      <c r="R261">
        <v>0</v>
      </c>
      <c r="S261">
        <v>0</v>
      </c>
      <c r="T261">
        <v>0</v>
      </c>
      <c r="U261">
        <v>0</v>
      </c>
      <c r="AC261" s="74" t="s">
        <v>789</v>
      </c>
      <c r="AD261" t="s">
        <v>794</v>
      </c>
      <c r="AE261" s="75" t="str">
        <f>HYPERLINK("https://twitter.com/pmf_qu/status/1493217880342601728")</f>
        <v>https://twitter.com/pmf_qu/status/1493217880342601728</v>
      </c>
      <c r="AF261" s="73">
        <v>44606.5678125</v>
      </c>
      <c r="AG261" s="77">
        <v>44606</v>
      </c>
      <c r="AH261" s="74" t="s">
        <v>966</v>
      </c>
      <c r="AV261" s="75" t="str">
        <f>HYPERLINK("https://abs.twimg.com/sticky/default_profile_images/default_profile_normal.png")</f>
        <v>https://abs.twimg.com/sticky/default_profile_images/default_profile_normal.png</v>
      </c>
      <c r="AW261" s="74" t="s">
        <v>1193</v>
      </c>
      <c r="AX261" s="74" t="s">
        <v>1193</v>
      </c>
      <c r="AZ261" s="74" t="s">
        <v>1384</v>
      </c>
      <c r="BA261" s="74" t="s">
        <v>1192</v>
      </c>
      <c r="BB261" s="74" t="s">
        <v>1384</v>
      </c>
      <c r="BC261" s="74" t="s">
        <v>1192</v>
      </c>
      <c r="BD261" s="74" t="s">
        <v>1474</v>
      </c>
      <c r="BJ261" s="44">
        <v>3</v>
      </c>
      <c r="BK261" s="45">
        <v>37.5</v>
      </c>
      <c r="BL261" s="44">
        <v>0</v>
      </c>
      <c r="BM261" s="45">
        <v>0</v>
      </c>
      <c r="BN261" s="44">
        <v>0</v>
      </c>
      <c r="BO261" s="45">
        <v>0</v>
      </c>
      <c r="BP261" s="44">
        <v>5</v>
      </c>
      <c r="BQ261" s="45">
        <v>62.5</v>
      </c>
      <c r="BR261" s="44">
        <v>8</v>
      </c>
      <c r="BS261">
        <v>1</v>
      </c>
      <c r="BT261" s="112" t="str">
        <f>REPLACE(INDEX(GroupVertices[Group],MATCH("~"&amp;Edges[[#This Row],[Vertex 1]],GroupVertices[Vertex],0)),1,1,"")</f>
        <v>5</v>
      </c>
      <c r="BU261" s="112" t="str">
        <f>REPLACE(INDEX(GroupVertices[Group],MATCH("~"&amp;Edges[[#This Row],[Vertex 2]],GroupVertices[Vertex],0)),1,1,"")</f>
        <v>5</v>
      </c>
    </row>
    <row r="262" spans="1:73" ht="15">
      <c r="A262" s="59" t="s">
        <v>331</v>
      </c>
      <c r="B262" s="59" t="s">
        <v>331</v>
      </c>
      <c r="C262" s="60"/>
      <c r="D262" s="61"/>
      <c r="E262" s="62"/>
      <c r="F262" s="63"/>
      <c r="G262" s="60"/>
      <c r="H262" s="64"/>
      <c r="I262" s="65"/>
      <c r="J262" s="65"/>
      <c r="K262" s="30" t="s">
        <v>65</v>
      </c>
      <c r="L262" s="72">
        <v>262</v>
      </c>
      <c r="M2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2" s="67"/>
      <c r="O262" t="s">
        <v>177</v>
      </c>
      <c r="P262" s="73">
        <v>44603.16322916667</v>
      </c>
      <c r="Q262" t="s">
        <v>653</v>
      </c>
      <c r="R262">
        <v>725</v>
      </c>
      <c r="S262">
        <v>1900</v>
      </c>
      <c r="T262">
        <v>329</v>
      </c>
      <c r="U262">
        <v>137</v>
      </c>
      <c r="X262" s="75" t="str">
        <f>HYPERLINK("https://travel.detik.com/travel-news/d-5934657/turis-perdana-ke-bali-dibiayai-kemenparekraf-garuda-dan-hotel")</f>
        <v>https://travel.detik.com/travel-news/d-5934657/turis-perdana-ke-bali-dibiayai-kemenparekraf-garuda-dan-hotel</v>
      </c>
      <c r="Y262" t="s">
        <v>712</v>
      </c>
      <c r="AC262" s="74" t="s">
        <v>787</v>
      </c>
      <c r="AD262" t="s">
        <v>794</v>
      </c>
      <c r="AE262" s="75" t="str">
        <f>HYPERLINK("https://twitter.com/alvinlie21/status/1491984099606556677")</f>
        <v>https://twitter.com/alvinlie21/status/1491984099606556677</v>
      </c>
      <c r="AF262" s="73">
        <v>44603.16322916667</v>
      </c>
      <c r="AG262" s="77">
        <v>44603</v>
      </c>
      <c r="AH262" s="74" t="s">
        <v>967</v>
      </c>
      <c r="AI262" t="b">
        <v>0</v>
      </c>
      <c r="AV262" s="75" t="str">
        <f>HYPERLINK("https://pbs.twimg.com/profile_images/744161620062941185/L4pSOdwB_normal.jpg")</f>
        <v>https://pbs.twimg.com/profile_images/744161620062941185/L4pSOdwB_normal.jpg</v>
      </c>
      <c r="AW262" s="74" t="s">
        <v>1194</v>
      </c>
      <c r="AX262" s="74" t="s">
        <v>1194</v>
      </c>
      <c r="AZ262" s="74" t="s">
        <v>1384</v>
      </c>
      <c r="BA262" s="74" t="s">
        <v>1384</v>
      </c>
      <c r="BB262" s="74" t="s">
        <v>1384</v>
      </c>
      <c r="BC262" s="74" t="s">
        <v>1194</v>
      </c>
      <c r="BD262">
        <v>30648872</v>
      </c>
      <c r="BJ262" s="44">
        <v>0</v>
      </c>
      <c r="BK262" s="45">
        <v>0</v>
      </c>
      <c r="BL262" s="44">
        <v>0</v>
      </c>
      <c r="BM262" s="45">
        <v>0</v>
      </c>
      <c r="BN262" s="44">
        <v>0</v>
      </c>
      <c r="BO262" s="45">
        <v>0</v>
      </c>
      <c r="BP262" s="44">
        <v>10</v>
      </c>
      <c r="BQ262" s="45">
        <v>100</v>
      </c>
      <c r="BR262" s="44">
        <v>10</v>
      </c>
      <c r="BS262">
        <v>1</v>
      </c>
      <c r="BT262" s="112" t="str">
        <f>REPLACE(INDEX(GroupVertices[Group],MATCH("~"&amp;Edges[[#This Row],[Vertex 1]],GroupVertices[Vertex],0)),1,1,"")</f>
        <v>5</v>
      </c>
      <c r="BU262" s="112" t="str">
        <f>REPLACE(INDEX(GroupVertices[Group],MATCH("~"&amp;Edges[[#This Row],[Vertex 2]],GroupVertices[Vertex],0)),1,1,"")</f>
        <v>5</v>
      </c>
    </row>
    <row r="263" spans="1:73" ht="15">
      <c r="A263" s="59" t="s">
        <v>329</v>
      </c>
      <c r="B263" s="59" t="s">
        <v>331</v>
      </c>
      <c r="C263" s="60"/>
      <c r="D263" s="61"/>
      <c r="E263" s="62"/>
      <c r="F263" s="63"/>
      <c r="G263" s="60"/>
      <c r="H263" s="64"/>
      <c r="I263" s="65"/>
      <c r="J263" s="65"/>
      <c r="K263" s="30" t="s">
        <v>65</v>
      </c>
      <c r="L263" s="72">
        <v>263</v>
      </c>
      <c r="M2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3" s="67"/>
      <c r="O263" t="s">
        <v>484</v>
      </c>
      <c r="P263" s="73">
        <v>44603.275347222225</v>
      </c>
      <c r="Q263" t="s">
        <v>654</v>
      </c>
      <c r="R263">
        <v>0</v>
      </c>
      <c r="S263">
        <v>0</v>
      </c>
      <c r="T263">
        <v>0</v>
      </c>
      <c r="U263">
        <v>0</v>
      </c>
      <c r="W263" s="74" t="s">
        <v>682</v>
      </c>
      <c r="AC263" s="74" t="s">
        <v>789</v>
      </c>
      <c r="AD263" t="s">
        <v>794</v>
      </c>
      <c r="AE263" s="75" t="str">
        <f>HYPERLINK("https://twitter.com/pmf_qu/status/1492024728638267393")</f>
        <v>https://twitter.com/pmf_qu/status/1492024728638267393</v>
      </c>
      <c r="AF263" s="73">
        <v>44603.275347222225</v>
      </c>
      <c r="AG263" s="77">
        <v>44603</v>
      </c>
      <c r="AH263" s="74" t="s">
        <v>968</v>
      </c>
      <c r="AV263" s="75" t="str">
        <f>HYPERLINK("https://abs.twimg.com/sticky/default_profile_images/default_profile_normal.png")</f>
        <v>https://abs.twimg.com/sticky/default_profile_images/default_profile_normal.png</v>
      </c>
      <c r="AW263" s="74" t="s">
        <v>1195</v>
      </c>
      <c r="AX263" s="74" t="s">
        <v>1195</v>
      </c>
      <c r="AZ263" s="74" t="s">
        <v>1384</v>
      </c>
      <c r="BA263" s="74" t="s">
        <v>1194</v>
      </c>
      <c r="BB263" s="74" t="s">
        <v>1384</v>
      </c>
      <c r="BC263" s="74" t="s">
        <v>1194</v>
      </c>
      <c r="BD263" s="74" t="s">
        <v>1474</v>
      </c>
      <c r="BJ263" s="44">
        <v>1</v>
      </c>
      <c r="BK263" s="45">
        <v>14.285714285714286</v>
      </c>
      <c r="BL263" s="44">
        <v>0</v>
      </c>
      <c r="BM263" s="45">
        <v>0</v>
      </c>
      <c r="BN263" s="44">
        <v>0</v>
      </c>
      <c r="BO263" s="45">
        <v>0</v>
      </c>
      <c r="BP263" s="44">
        <v>6</v>
      </c>
      <c r="BQ263" s="45">
        <v>85.71428571428571</v>
      </c>
      <c r="BR263" s="44">
        <v>7</v>
      </c>
      <c r="BS263">
        <v>1</v>
      </c>
      <c r="BT263" s="112" t="str">
        <f>REPLACE(INDEX(GroupVertices[Group],MATCH("~"&amp;Edges[[#This Row],[Vertex 1]],GroupVertices[Vertex],0)),1,1,"")</f>
        <v>5</v>
      </c>
      <c r="BU263" s="112" t="str">
        <f>REPLACE(INDEX(GroupVertices[Group],MATCH("~"&amp;Edges[[#This Row],[Vertex 2]],GroupVertices[Vertex],0)),1,1,"")</f>
        <v>5</v>
      </c>
    </row>
    <row r="264" spans="1:73" ht="15">
      <c r="A264" s="59" t="s">
        <v>332</v>
      </c>
      <c r="B264" s="59" t="s">
        <v>332</v>
      </c>
      <c r="C264" s="60"/>
      <c r="D264" s="61"/>
      <c r="E264" s="62"/>
      <c r="F264" s="63"/>
      <c r="G264" s="60"/>
      <c r="H264" s="64"/>
      <c r="I264" s="65"/>
      <c r="J264" s="65"/>
      <c r="K264" s="30" t="s">
        <v>65</v>
      </c>
      <c r="L264" s="72">
        <v>264</v>
      </c>
      <c r="M2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4" s="67"/>
      <c r="O264" t="s">
        <v>177</v>
      </c>
      <c r="P264" s="73">
        <v>44579.40445601852</v>
      </c>
      <c r="Q264" t="s">
        <v>655</v>
      </c>
      <c r="R264">
        <v>848</v>
      </c>
      <c r="S264">
        <v>2932</v>
      </c>
      <c r="T264">
        <v>172</v>
      </c>
      <c r="U264">
        <v>44</v>
      </c>
      <c r="AC264" s="74" t="s">
        <v>787</v>
      </c>
      <c r="AD264" t="s">
        <v>794</v>
      </c>
      <c r="AE264" s="75" t="str">
        <f>HYPERLINK("https://twitter.com/hisyammochtar/status/1483374205899276292")</f>
        <v>https://twitter.com/hisyammochtar/status/1483374205899276292</v>
      </c>
      <c r="AF264" s="73">
        <v>44579.40445601852</v>
      </c>
      <c r="AG264" s="77">
        <v>44579</v>
      </c>
      <c r="AH264" s="74" t="s">
        <v>969</v>
      </c>
      <c r="AV264" s="75" t="str">
        <f>HYPERLINK("https://pbs.twimg.com/profile_images/853071593538437120/yiK-9syp_normal.jpg")</f>
        <v>https://pbs.twimg.com/profile_images/853071593538437120/yiK-9syp_normal.jpg</v>
      </c>
      <c r="AW264" s="74" t="s">
        <v>1196</v>
      </c>
      <c r="AX264" s="74" t="s">
        <v>1196</v>
      </c>
      <c r="AZ264" s="74" t="s">
        <v>1384</v>
      </c>
      <c r="BA264" s="74" t="s">
        <v>1384</v>
      </c>
      <c r="BB264" s="74" t="s">
        <v>1384</v>
      </c>
      <c r="BC264" s="74" t="s">
        <v>1196</v>
      </c>
      <c r="BD264" s="74" t="s">
        <v>1475</v>
      </c>
      <c r="BJ264" s="44">
        <v>1</v>
      </c>
      <c r="BK264" s="45">
        <v>3.0303030303030303</v>
      </c>
      <c r="BL264" s="44">
        <v>0</v>
      </c>
      <c r="BM264" s="45">
        <v>0</v>
      </c>
      <c r="BN264" s="44">
        <v>0</v>
      </c>
      <c r="BO264" s="45">
        <v>0</v>
      </c>
      <c r="BP264" s="44">
        <v>32</v>
      </c>
      <c r="BQ264" s="45">
        <v>96.96969696969697</v>
      </c>
      <c r="BR264" s="44">
        <v>33</v>
      </c>
      <c r="BS264">
        <v>1</v>
      </c>
      <c r="BT264" s="112" t="str">
        <f>REPLACE(INDEX(GroupVertices[Group],MATCH("~"&amp;Edges[[#This Row],[Vertex 1]],GroupVertices[Vertex],0)),1,1,"")</f>
        <v>5</v>
      </c>
      <c r="BU264" s="112" t="str">
        <f>REPLACE(INDEX(GroupVertices[Group],MATCH("~"&amp;Edges[[#This Row],[Vertex 2]],GroupVertices[Vertex],0)),1,1,"")</f>
        <v>5</v>
      </c>
    </row>
    <row r="265" spans="1:73" ht="15">
      <c r="A265" s="59" t="s">
        <v>329</v>
      </c>
      <c r="B265" s="59" t="s">
        <v>332</v>
      </c>
      <c r="C265" s="60"/>
      <c r="D265" s="61"/>
      <c r="E265" s="62"/>
      <c r="F265" s="63"/>
      <c r="G265" s="60"/>
      <c r="H265" s="64"/>
      <c r="I265" s="65"/>
      <c r="J265" s="65"/>
      <c r="K265" s="30" t="s">
        <v>65</v>
      </c>
      <c r="L265" s="72">
        <v>265</v>
      </c>
      <c r="M2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5" s="67"/>
      <c r="O265" t="s">
        <v>484</v>
      </c>
      <c r="P265" s="73">
        <v>44580.0378587963</v>
      </c>
      <c r="Q265" t="s">
        <v>656</v>
      </c>
      <c r="R265">
        <v>0</v>
      </c>
      <c r="S265">
        <v>1</v>
      </c>
      <c r="T265">
        <v>0</v>
      </c>
      <c r="U265">
        <v>0</v>
      </c>
      <c r="W265" s="74" t="s">
        <v>705</v>
      </c>
      <c r="AC265" s="74" t="s">
        <v>789</v>
      </c>
      <c r="AD265" t="s">
        <v>794</v>
      </c>
      <c r="AE265" s="75" t="str">
        <f>HYPERLINK("https://twitter.com/pmf_qu/status/1483603743010856960")</f>
        <v>https://twitter.com/pmf_qu/status/1483603743010856960</v>
      </c>
      <c r="AF265" s="73">
        <v>44580.0378587963</v>
      </c>
      <c r="AG265" s="77">
        <v>44580</v>
      </c>
      <c r="AH265" s="74" t="s">
        <v>970</v>
      </c>
      <c r="AV265" s="75" t="str">
        <f>HYPERLINK("https://abs.twimg.com/sticky/default_profile_images/default_profile_normal.png")</f>
        <v>https://abs.twimg.com/sticky/default_profile_images/default_profile_normal.png</v>
      </c>
      <c r="AW265" s="74" t="s">
        <v>1197</v>
      </c>
      <c r="AX265" s="74" t="s">
        <v>1197</v>
      </c>
      <c r="AZ265" s="74" t="s">
        <v>1384</v>
      </c>
      <c r="BA265" s="74" t="s">
        <v>1196</v>
      </c>
      <c r="BB265" s="74" t="s">
        <v>1384</v>
      </c>
      <c r="BC265" s="74" t="s">
        <v>1196</v>
      </c>
      <c r="BD265" s="74" t="s">
        <v>1474</v>
      </c>
      <c r="BJ265" s="44">
        <v>4</v>
      </c>
      <c r="BK265" s="45">
        <v>36.36363636363637</v>
      </c>
      <c r="BL265" s="44">
        <v>1</v>
      </c>
      <c r="BM265" s="45">
        <v>9.090909090909092</v>
      </c>
      <c r="BN265" s="44">
        <v>0</v>
      </c>
      <c r="BO265" s="45">
        <v>0</v>
      </c>
      <c r="BP265" s="44">
        <v>6</v>
      </c>
      <c r="BQ265" s="45">
        <v>54.54545454545455</v>
      </c>
      <c r="BR265" s="44">
        <v>11</v>
      </c>
      <c r="BS265">
        <v>1</v>
      </c>
      <c r="BT265" s="112" t="str">
        <f>REPLACE(INDEX(GroupVertices[Group],MATCH("~"&amp;Edges[[#This Row],[Vertex 1]],GroupVertices[Vertex],0)),1,1,"")</f>
        <v>5</v>
      </c>
      <c r="BU265" s="112" t="str">
        <f>REPLACE(INDEX(GroupVertices[Group],MATCH("~"&amp;Edges[[#This Row],[Vertex 2]],GroupVertices[Vertex],0)),1,1,"")</f>
        <v>5</v>
      </c>
    </row>
    <row r="266" spans="1:73" ht="15">
      <c r="A266" s="59" t="s">
        <v>329</v>
      </c>
      <c r="B266" s="59" t="s">
        <v>478</v>
      </c>
      <c r="C266" s="60"/>
      <c r="D266" s="61"/>
      <c r="E266" s="62"/>
      <c r="F266" s="63"/>
      <c r="G266" s="60"/>
      <c r="H266" s="64"/>
      <c r="I266" s="65"/>
      <c r="J266" s="65"/>
      <c r="K266" s="30" t="s">
        <v>65</v>
      </c>
      <c r="L266" s="72">
        <v>266</v>
      </c>
      <c r="M2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6" s="67"/>
      <c r="O266" t="s">
        <v>484</v>
      </c>
      <c r="P266" s="73">
        <v>44609.67208333333</v>
      </c>
      <c r="Q266" t="s">
        <v>657</v>
      </c>
      <c r="R266">
        <v>0</v>
      </c>
      <c r="S266">
        <v>0</v>
      </c>
      <c r="T266">
        <v>0</v>
      </c>
      <c r="U266">
        <v>0</v>
      </c>
      <c r="W266" s="74" t="s">
        <v>682</v>
      </c>
      <c r="AC266" s="74" t="s">
        <v>789</v>
      </c>
      <c r="AD266" t="s">
        <v>794</v>
      </c>
      <c r="AE266" s="75" t="str">
        <f>HYPERLINK("https://twitter.com/pmf_qu/status/1494342829920845830")</f>
        <v>https://twitter.com/pmf_qu/status/1494342829920845830</v>
      </c>
      <c r="AF266" s="73">
        <v>44609.67208333333</v>
      </c>
      <c r="AG266" s="77">
        <v>44609</v>
      </c>
      <c r="AH266" s="74" t="s">
        <v>971</v>
      </c>
      <c r="AV266" s="75" t="str">
        <f>HYPERLINK("https://abs.twimg.com/sticky/default_profile_images/default_profile_normal.png")</f>
        <v>https://abs.twimg.com/sticky/default_profile_images/default_profile_normal.png</v>
      </c>
      <c r="AW266" s="74" t="s">
        <v>1198</v>
      </c>
      <c r="AX266" s="74" t="s">
        <v>1198</v>
      </c>
      <c r="AZ266" s="74" t="s">
        <v>1384</v>
      </c>
      <c r="BA266" s="74" t="s">
        <v>1401</v>
      </c>
      <c r="BB266" s="74" t="s">
        <v>1384</v>
      </c>
      <c r="BC266" s="74" t="s">
        <v>1401</v>
      </c>
      <c r="BD266" s="74" t="s">
        <v>1474</v>
      </c>
      <c r="BJ266" s="44">
        <v>3</v>
      </c>
      <c r="BK266" s="45">
        <v>25</v>
      </c>
      <c r="BL266" s="44">
        <v>0</v>
      </c>
      <c r="BM266" s="45">
        <v>0</v>
      </c>
      <c r="BN266" s="44">
        <v>0</v>
      </c>
      <c r="BO266" s="45">
        <v>0</v>
      </c>
      <c r="BP266" s="44">
        <v>9</v>
      </c>
      <c r="BQ266" s="45">
        <v>75</v>
      </c>
      <c r="BR266" s="44">
        <v>12</v>
      </c>
      <c r="BS266">
        <v>1</v>
      </c>
      <c r="BT266" s="112" t="str">
        <f>REPLACE(INDEX(GroupVertices[Group],MATCH("~"&amp;Edges[[#This Row],[Vertex 1]],GroupVertices[Vertex],0)),1,1,"")</f>
        <v>5</v>
      </c>
      <c r="BU266" s="112" t="str">
        <f>REPLACE(INDEX(GroupVertices[Group],MATCH("~"&amp;Edges[[#This Row],[Vertex 2]],GroupVertices[Vertex],0)),1,1,"")</f>
        <v>5</v>
      </c>
    </row>
    <row r="267" spans="1:73" ht="15">
      <c r="A267" s="59" t="s">
        <v>329</v>
      </c>
      <c r="B267" s="59" t="s">
        <v>479</v>
      </c>
      <c r="C267" s="60"/>
      <c r="D267" s="61"/>
      <c r="E267" s="62"/>
      <c r="F267" s="63"/>
      <c r="G267" s="60"/>
      <c r="H267" s="64"/>
      <c r="I267" s="65"/>
      <c r="J267" s="65"/>
      <c r="K267" s="30" t="s">
        <v>65</v>
      </c>
      <c r="L267" s="72">
        <v>267</v>
      </c>
      <c r="M2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7" s="67"/>
      <c r="O267" t="s">
        <v>484</v>
      </c>
      <c r="P267" s="73">
        <v>44580.041446759256</v>
      </c>
      <c r="Q267" t="s">
        <v>658</v>
      </c>
      <c r="R267">
        <v>0</v>
      </c>
      <c r="S267">
        <v>0</v>
      </c>
      <c r="T267">
        <v>0</v>
      </c>
      <c r="U267">
        <v>0</v>
      </c>
      <c r="W267" s="74" t="s">
        <v>682</v>
      </c>
      <c r="AC267" s="74" t="s">
        <v>789</v>
      </c>
      <c r="AD267" t="s">
        <v>794</v>
      </c>
      <c r="AE267" s="75" t="str">
        <f>HYPERLINK("https://twitter.com/pmf_qu/status/1483605045338046467")</f>
        <v>https://twitter.com/pmf_qu/status/1483605045338046467</v>
      </c>
      <c r="AF267" s="73">
        <v>44580.041446759256</v>
      </c>
      <c r="AG267" s="77">
        <v>44580</v>
      </c>
      <c r="AH267" s="74" t="s">
        <v>972</v>
      </c>
      <c r="AV267" s="75" t="str">
        <f>HYPERLINK("https://abs.twimg.com/sticky/default_profile_images/default_profile_normal.png")</f>
        <v>https://abs.twimg.com/sticky/default_profile_images/default_profile_normal.png</v>
      </c>
      <c r="AW267" s="74" t="s">
        <v>1199</v>
      </c>
      <c r="AX267" s="74" t="s">
        <v>1199</v>
      </c>
      <c r="AZ267" s="74" t="s">
        <v>1384</v>
      </c>
      <c r="BA267" s="74" t="s">
        <v>1402</v>
      </c>
      <c r="BB267" s="74" t="s">
        <v>1384</v>
      </c>
      <c r="BC267" s="74" t="s">
        <v>1402</v>
      </c>
      <c r="BD267" s="74" t="s">
        <v>1474</v>
      </c>
      <c r="BJ267" s="44">
        <v>0</v>
      </c>
      <c r="BK267" s="45">
        <v>0</v>
      </c>
      <c r="BL267" s="44">
        <v>2</v>
      </c>
      <c r="BM267" s="45">
        <v>33.333333333333336</v>
      </c>
      <c r="BN267" s="44">
        <v>0</v>
      </c>
      <c r="BO267" s="45">
        <v>0</v>
      </c>
      <c r="BP267" s="44">
        <v>4</v>
      </c>
      <c r="BQ267" s="45">
        <v>66.66666666666667</v>
      </c>
      <c r="BR267" s="44">
        <v>6</v>
      </c>
      <c r="BS267">
        <v>1</v>
      </c>
      <c r="BT267" s="112" t="str">
        <f>REPLACE(INDEX(GroupVertices[Group],MATCH("~"&amp;Edges[[#This Row],[Vertex 1]],GroupVertices[Vertex],0)),1,1,"")</f>
        <v>5</v>
      </c>
      <c r="BU267" s="112" t="str">
        <f>REPLACE(INDEX(GroupVertices[Group],MATCH("~"&amp;Edges[[#This Row],[Vertex 2]],GroupVertices[Vertex],0)),1,1,"")</f>
        <v>5</v>
      </c>
    </row>
    <row r="268" spans="1:73" ht="15">
      <c r="A268" s="59" t="s">
        <v>329</v>
      </c>
      <c r="B268" s="59" t="s">
        <v>270</v>
      </c>
      <c r="C268" s="60"/>
      <c r="D268" s="61"/>
      <c r="E268" s="62"/>
      <c r="F268" s="63"/>
      <c r="G268" s="60"/>
      <c r="H268" s="64"/>
      <c r="I268" s="65"/>
      <c r="J268" s="65"/>
      <c r="K268" s="30" t="s">
        <v>65</v>
      </c>
      <c r="L268" s="72">
        <v>268</v>
      </c>
      <c r="M2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8" s="67"/>
      <c r="O268" t="s">
        <v>484</v>
      </c>
      <c r="P268" s="73">
        <v>44580.039143518516</v>
      </c>
      <c r="Q268" t="s">
        <v>659</v>
      </c>
      <c r="R268">
        <v>0</v>
      </c>
      <c r="S268">
        <v>0</v>
      </c>
      <c r="T268">
        <v>0</v>
      </c>
      <c r="U268">
        <v>0</v>
      </c>
      <c r="W268" s="74" t="s">
        <v>705</v>
      </c>
      <c r="AC268" s="74" t="s">
        <v>789</v>
      </c>
      <c r="AD268" t="s">
        <v>794</v>
      </c>
      <c r="AE268" s="75" t="str">
        <f>HYPERLINK("https://twitter.com/pmf_qu/status/1483604211107774464")</f>
        <v>https://twitter.com/pmf_qu/status/1483604211107774464</v>
      </c>
      <c r="AF268" s="73">
        <v>44580.039143518516</v>
      </c>
      <c r="AG268" s="77">
        <v>44580</v>
      </c>
      <c r="AH268" s="74" t="s">
        <v>973</v>
      </c>
      <c r="AV268" s="75" t="str">
        <f>HYPERLINK("https://abs.twimg.com/sticky/default_profile_images/default_profile_normal.png")</f>
        <v>https://abs.twimg.com/sticky/default_profile_images/default_profile_normal.png</v>
      </c>
      <c r="AW268" s="74" t="s">
        <v>1200</v>
      </c>
      <c r="AX268" s="74" t="s">
        <v>1200</v>
      </c>
      <c r="AZ268" s="74" t="s">
        <v>1384</v>
      </c>
      <c r="BA268" s="74" t="s">
        <v>1104</v>
      </c>
      <c r="BB268" s="74" t="s">
        <v>1384</v>
      </c>
      <c r="BC268" s="74" t="s">
        <v>1104</v>
      </c>
      <c r="BD268" s="74" t="s">
        <v>1474</v>
      </c>
      <c r="BJ268" s="44">
        <v>4</v>
      </c>
      <c r="BK268" s="45">
        <v>40</v>
      </c>
      <c r="BL268" s="44">
        <v>1</v>
      </c>
      <c r="BM268" s="45">
        <v>10</v>
      </c>
      <c r="BN268" s="44">
        <v>0</v>
      </c>
      <c r="BO268" s="45">
        <v>0</v>
      </c>
      <c r="BP268" s="44">
        <v>5</v>
      </c>
      <c r="BQ268" s="45">
        <v>50</v>
      </c>
      <c r="BR268" s="44">
        <v>10</v>
      </c>
      <c r="BS268">
        <v>1</v>
      </c>
      <c r="BT268" s="112" t="str">
        <f>REPLACE(INDEX(GroupVertices[Group],MATCH("~"&amp;Edges[[#This Row],[Vertex 1]],GroupVertices[Vertex],0)),1,1,"")</f>
        <v>5</v>
      </c>
      <c r="BU268" s="112" t="str">
        <f>REPLACE(INDEX(GroupVertices[Group],MATCH("~"&amp;Edges[[#This Row],[Vertex 2]],GroupVertices[Vertex],0)),1,1,"")</f>
        <v>10</v>
      </c>
    </row>
    <row r="269" spans="1:73" ht="15">
      <c r="A269" s="59" t="s">
        <v>333</v>
      </c>
      <c r="B269" s="59" t="s">
        <v>333</v>
      </c>
      <c r="C269" s="60"/>
      <c r="D269" s="61"/>
      <c r="E269" s="62"/>
      <c r="F269" s="63"/>
      <c r="G269" s="60"/>
      <c r="H269" s="64"/>
      <c r="I269" s="65"/>
      <c r="J269" s="65"/>
      <c r="K269" s="30" t="s">
        <v>65</v>
      </c>
      <c r="L269" s="72">
        <v>269</v>
      </c>
      <c r="M2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9" s="67"/>
      <c r="O269" t="s">
        <v>177</v>
      </c>
      <c r="P269" s="73">
        <v>44580.092210648145</v>
      </c>
      <c r="Q269" t="s">
        <v>660</v>
      </c>
      <c r="R269">
        <v>77</v>
      </c>
      <c r="S269">
        <v>370</v>
      </c>
      <c r="T269">
        <v>241</v>
      </c>
      <c r="U269">
        <v>43</v>
      </c>
      <c r="X269" s="75" t="str">
        <f>HYPERLINK("https://arahjaya.com/2019/07/26/rakyat-tidak-setuju-ibukota-negara-pindah-sosiolog-beri-solusi/")</f>
        <v>https://arahjaya.com/2019/07/26/rakyat-tidak-setuju-ibukota-negara-pindah-sosiolog-beri-solusi/</v>
      </c>
      <c r="Y269" t="s">
        <v>721</v>
      </c>
      <c r="AC269" s="74" t="s">
        <v>787</v>
      </c>
      <c r="AD269" t="s">
        <v>794</v>
      </c>
      <c r="AE269" s="75" t="str">
        <f>HYPERLINK("https://twitter.com/musniumar/status/1483623443170209793")</f>
        <v>https://twitter.com/musniumar/status/1483623443170209793</v>
      </c>
      <c r="AF269" s="73">
        <v>44580.092210648145</v>
      </c>
      <c r="AG269" s="77">
        <v>44580</v>
      </c>
      <c r="AH269" s="74" t="s">
        <v>974</v>
      </c>
      <c r="AI269" t="b">
        <v>0</v>
      </c>
      <c r="AV269" s="75" t="str">
        <f>HYPERLINK("https://pbs.twimg.com/profile_images/1149965232657162240/zduaogzZ_normal.jpg")</f>
        <v>https://pbs.twimg.com/profile_images/1149965232657162240/zduaogzZ_normal.jpg</v>
      </c>
      <c r="AW269" s="74" t="s">
        <v>1201</v>
      </c>
      <c r="AX269" s="74" t="s">
        <v>1201</v>
      </c>
      <c r="AZ269" s="74" t="s">
        <v>1384</v>
      </c>
      <c r="BA269" s="74" t="s">
        <v>1384</v>
      </c>
      <c r="BB269" s="74" t="s">
        <v>1384</v>
      </c>
      <c r="BC269" s="74" t="s">
        <v>1201</v>
      </c>
      <c r="BD269">
        <v>114697372</v>
      </c>
      <c r="BJ269" s="44">
        <v>0</v>
      </c>
      <c r="BK269" s="45">
        <v>0</v>
      </c>
      <c r="BL269" s="44">
        <v>0</v>
      </c>
      <c r="BM269" s="45">
        <v>0</v>
      </c>
      <c r="BN269" s="44">
        <v>0</v>
      </c>
      <c r="BO269" s="45">
        <v>0</v>
      </c>
      <c r="BP269" s="44">
        <v>39</v>
      </c>
      <c r="BQ269" s="45">
        <v>100</v>
      </c>
      <c r="BR269" s="44">
        <v>39</v>
      </c>
      <c r="BS269">
        <v>1</v>
      </c>
      <c r="BT269" s="112" t="str">
        <f>REPLACE(INDEX(GroupVertices[Group],MATCH("~"&amp;Edges[[#This Row],[Vertex 1]],GroupVertices[Vertex],0)),1,1,"")</f>
        <v>12</v>
      </c>
      <c r="BU269" s="112" t="str">
        <f>REPLACE(INDEX(GroupVertices[Group],MATCH("~"&amp;Edges[[#This Row],[Vertex 2]],GroupVertices[Vertex],0)),1,1,"")</f>
        <v>12</v>
      </c>
    </row>
    <row r="270" spans="1:73" ht="15">
      <c r="A270" s="59" t="s">
        <v>329</v>
      </c>
      <c r="B270" s="59" t="s">
        <v>333</v>
      </c>
      <c r="C270" s="60"/>
      <c r="D270" s="61"/>
      <c r="E270" s="62"/>
      <c r="F270" s="63"/>
      <c r="G270" s="60"/>
      <c r="H270" s="64"/>
      <c r="I270" s="65"/>
      <c r="J270" s="65"/>
      <c r="K270" s="30" t="s">
        <v>65</v>
      </c>
      <c r="L270" s="72">
        <v>270</v>
      </c>
      <c r="M2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0" s="67"/>
      <c r="O270" t="s">
        <v>484</v>
      </c>
      <c r="P270" s="73">
        <v>44580.4971875</v>
      </c>
      <c r="Q270" t="s">
        <v>661</v>
      </c>
      <c r="R270">
        <v>0</v>
      </c>
      <c r="S270">
        <v>0</v>
      </c>
      <c r="T270">
        <v>0</v>
      </c>
      <c r="U270">
        <v>0</v>
      </c>
      <c r="AC270" s="74" t="s">
        <v>789</v>
      </c>
      <c r="AD270" t="s">
        <v>794</v>
      </c>
      <c r="AE270" s="75" t="str">
        <f>HYPERLINK("https://twitter.com/pmf_qu/status/1483770199484829698")</f>
        <v>https://twitter.com/pmf_qu/status/1483770199484829698</v>
      </c>
      <c r="AF270" s="73">
        <v>44580.4971875</v>
      </c>
      <c r="AG270" s="77">
        <v>44580</v>
      </c>
      <c r="AH270" s="74" t="s">
        <v>975</v>
      </c>
      <c r="AV270" s="75" t="str">
        <f>HYPERLINK("https://abs.twimg.com/sticky/default_profile_images/default_profile_normal.png")</f>
        <v>https://abs.twimg.com/sticky/default_profile_images/default_profile_normal.png</v>
      </c>
      <c r="AW270" s="74" t="s">
        <v>1202</v>
      </c>
      <c r="AX270" s="74" t="s">
        <v>1202</v>
      </c>
      <c r="AZ270" s="74" t="s">
        <v>1384</v>
      </c>
      <c r="BA270" s="74" t="s">
        <v>1201</v>
      </c>
      <c r="BB270" s="74" t="s">
        <v>1384</v>
      </c>
      <c r="BC270" s="74" t="s">
        <v>1201</v>
      </c>
      <c r="BD270" s="74" t="s">
        <v>1474</v>
      </c>
      <c r="BJ270" s="44">
        <v>4</v>
      </c>
      <c r="BK270" s="45">
        <v>14.814814814814815</v>
      </c>
      <c r="BL270" s="44">
        <v>0</v>
      </c>
      <c r="BM270" s="45">
        <v>0</v>
      </c>
      <c r="BN270" s="44">
        <v>0</v>
      </c>
      <c r="BO270" s="45">
        <v>0</v>
      </c>
      <c r="BP270" s="44">
        <v>23</v>
      </c>
      <c r="BQ270" s="45">
        <v>85.18518518518519</v>
      </c>
      <c r="BR270" s="44">
        <v>27</v>
      </c>
      <c r="BS270">
        <v>1</v>
      </c>
      <c r="BT270" s="112" t="str">
        <f>REPLACE(INDEX(GroupVertices[Group],MATCH("~"&amp;Edges[[#This Row],[Vertex 1]],GroupVertices[Vertex],0)),1,1,"")</f>
        <v>5</v>
      </c>
      <c r="BU270" s="112" t="str">
        <f>REPLACE(INDEX(GroupVertices[Group],MATCH("~"&amp;Edges[[#This Row],[Vertex 2]],GroupVertices[Vertex],0)),1,1,"")</f>
        <v>12</v>
      </c>
    </row>
    <row r="271" spans="1:73" ht="15">
      <c r="A271" s="59" t="s">
        <v>334</v>
      </c>
      <c r="B271" s="59" t="s">
        <v>334</v>
      </c>
      <c r="C271" s="60"/>
      <c r="D271" s="61"/>
      <c r="E271" s="62"/>
      <c r="F271" s="63"/>
      <c r="G271" s="60"/>
      <c r="H271" s="64"/>
      <c r="I271" s="65"/>
      <c r="J271" s="65"/>
      <c r="K271" s="30" t="s">
        <v>65</v>
      </c>
      <c r="L271" s="72">
        <v>271</v>
      </c>
      <c r="M2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1" s="67"/>
      <c r="O271" t="s">
        <v>177</v>
      </c>
      <c r="P271" s="73">
        <v>44605.65584490741</v>
      </c>
      <c r="Q271" t="s">
        <v>662</v>
      </c>
      <c r="R271">
        <v>584</v>
      </c>
      <c r="S271">
        <v>2355</v>
      </c>
      <c r="T271">
        <v>203</v>
      </c>
      <c r="U271">
        <v>51</v>
      </c>
      <c r="AC271" s="74" t="s">
        <v>787</v>
      </c>
      <c r="AD271" t="s">
        <v>794</v>
      </c>
      <c r="AE271" s="75" t="str">
        <f>HYPERLINK("https://twitter.com/msaid_didu/status/1492887391253659648")</f>
        <v>https://twitter.com/msaid_didu/status/1492887391253659648</v>
      </c>
      <c r="AF271" s="73">
        <v>44605.65584490741</v>
      </c>
      <c r="AG271" s="77">
        <v>44605</v>
      </c>
      <c r="AH271" s="74" t="s">
        <v>976</v>
      </c>
      <c r="AV271" s="75" t="str">
        <f>HYPERLINK("https://pbs.twimg.com/profile_images/1201299092376129536/YU9oL9TW_normal.jpg")</f>
        <v>https://pbs.twimg.com/profile_images/1201299092376129536/YU9oL9TW_normal.jpg</v>
      </c>
      <c r="AW271" s="74" t="s">
        <v>1203</v>
      </c>
      <c r="AX271" s="74" t="s">
        <v>1203</v>
      </c>
      <c r="AZ271" s="74" t="s">
        <v>1384</v>
      </c>
      <c r="BA271" s="74" t="s">
        <v>1384</v>
      </c>
      <c r="BB271" s="74" t="s">
        <v>1384</v>
      </c>
      <c r="BC271" s="74" t="s">
        <v>1203</v>
      </c>
      <c r="BD271" s="74" t="s">
        <v>1327</v>
      </c>
      <c r="BJ271" s="44">
        <v>2</v>
      </c>
      <c r="BK271" s="45">
        <v>4.761904761904762</v>
      </c>
      <c r="BL271" s="44">
        <v>2</v>
      </c>
      <c r="BM271" s="45">
        <v>4.761904761904762</v>
      </c>
      <c r="BN271" s="44">
        <v>0</v>
      </c>
      <c r="BO271" s="45">
        <v>0</v>
      </c>
      <c r="BP271" s="44">
        <v>38</v>
      </c>
      <c r="BQ271" s="45">
        <v>90.47619047619048</v>
      </c>
      <c r="BR271" s="44">
        <v>42</v>
      </c>
      <c r="BS271">
        <v>1</v>
      </c>
      <c r="BT271" s="112" t="str">
        <f>REPLACE(INDEX(GroupVertices[Group],MATCH("~"&amp;Edges[[#This Row],[Vertex 1]],GroupVertices[Vertex],0)),1,1,"")</f>
        <v>4</v>
      </c>
      <c r="BU271" s="112" t="str">
        <f>REPLACE(INDEX(GroupVertices[Group],MATCH("~"&amp;Edges[[#This Row],[Vertex 2]],GroupVertices[Vertex],0)),1,1,"")</f>
        <v>4</v>
      </c>
    </row>
    <row r="272" spans="1:73" ht="15">
      <c r="A272" s="59" t="s">
        <v>329</v>
      </c>
      <c r="B272" s="59" t="s">
        <v>334</v>
      </c>
      <c r="C272" s="60"/>
      <c r="D272" s="61"/>
      <c r="E272" s="62"/>
      <c r="F272" s="63"/>
      <c r="G272" s="60"/>
      <c r="H272" s="64"/>
      <c r="I272" s="65"/>
      <c r="J272" s="65"/>
      <c r="K272" s="30" t="s">
        <v>65</v>
      </c>
      <c r="L272" s="72">
        <v>272</v>
      </c>
      <c r="M2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2" s="67"/>
      <c r="O272" t="s">
        <v>484</v>
      </c>
      <c r="P272" s="73">
        <v>44606.66002314815</v>
      </c>
      <c r="Q272" t="s">
        <v>663</v>
      </c>
      <c r="R272">
        <v>0</v>
      </c>
      <c r="S272">
        <v>0</v>
      </c>
      <c r="T272">
        <v>0</v>
      </c>
      <c r="U272">
        <v>0</v>
      </c>
      <c r="W272" s="74" t="s">
        <v>682</v>
      </c>
      <c r="AC272" s="74" t="s">
        <v>789</v>
      </c>
      <c r="AD272" t="s">
        <v>794</v>
      </c>
      <c r="AE272" s="75" t="str">
        <f>HYPERLINK("https://twitter.com/pmf_qu/status/1493251296039632896")</f>
        <v>https://twitter.com/pmf_qu/status/1493251296039632896</v>
      </c>
      <c r="AF272" s="73">
        <v>44606.66002314815</v>
      </c>
      <c r="AG272" s="77">
        <v>44606</v>
      </c>
      <c r="AH272" s="74" t="s">
        <v>977</v>
      </c>
      <c r="AV272" s="75" t="str">
        <f>HYPERLINK("https://abs.twimg.com/sticky/default_profile_images/default_profile_normal.png")</f>
        <v>https://abs.twimg.com/sticky/default_profile_images/default_profile_normal.png</v>
      </c>
      <c r="AW272" s="74" t="s">
        <v>1204</v>
      </c>
      <c r="AX272" s="74" t="s">
        <v>1204</v>
      </c>
      <c r="AZ272" s="74" t="s">
        <v>1384</v>
      </c>
      <c r="BA272" s="74" t="s">
        <v>1203</v>
      </c>
      <c r="BB272" s="74" t="s">
        <v>1384</v>
      </c>
      <c r="BC272" s="74" t="s">
        <v>1203</v>
      </c>
      <c r="BD272" s="74" t="s">
        <v>1474</v>
      </c>
      <c r="BJ272" s="44">
        <v>2</v>
      </c>
      <c r="BK272" s="45">
        <v>15.384615384615385</v>
      </c>
      <c r="BL272" s="44">
        <v>1</v>
      </c>
      <c r="BM272" s="45">
        <v>7.6923076923076925</v>
      </c>
      <c r="BN272" s="44">
        <v>0</v>
      </c>
      <c r="BO272" s="45">
        <v>0</v>
      </c>
      <c r="BP272" s="44">
        <v>10</v>
      </c>
      <c r="BQ272" s="45">
        <v>76.92307692307692</v>
      </c>
      <c r="BR272" s="44">
        <v>13</v>
      </c>
      <c r="BS272">
        <v>8</v>
      </c>
      <c r="BT272" s="112" t="str">
        <f>REPLACE(INDEX(GroupVertices[Group],MATCH("~"&amp;Edges[[#This Row],[Vertex 1]],GroupVertices[Vertex],0)),1,1,"")</f>
        <v>5</v>
      </c>
      <c r="BU272" s="112" t="str">
        <f>REPLACE(INDEX(GroupVertices[Group],MATCH("~"&amp;Edges[[#This Row],[Vertex 2]],GroupVertices[Vertex],0)),1,1,"")</f>
        <v>4</v>
      </c>
    </row>
    <row r="273" spans="1:73" ht="15">
      <c r="A273" s="59" t="s">
        <v>335</v>
      </c>
      <c r="B273" s="59" t="s">
        <v>335</v>
      </c>
      <c r="C273" s="60"/>
      <c r="D273" s="61"/>
      <c r="E273" s="62"/>
      <c r="F273" s="63"/>
      <c r="G273" s="60"/>
      <c r="H273" s="64"/>
      <c r="I273" s="65"/>
      <c r="J273" s="65"/>
      <c r="K273" s="30" t="s">
        <v>65</v>
      </c>
      <c r="L273" s="72">
        <v>273</v>
      </c>
      <c r="M2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3" s="67"/>
      <c r="O273" t="s">
        <v>177</v>
      </c>
      <c r="P273" s="73">
        <v>44606.400555555556</v>
      </c>
      <c r="Q273" t="s">
        <v>664</v>
      </c>
      <c r="R273">
        <v>468</v>
      </c>
      <c r="S273">
        <v>1196</v>
      </c>
      <c r="T273">
        <v>459</v>
      </c>
      <c r="U273">
        <v>198</v>
      </c>
      <c r="X273"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273" t="s">
        <v>722</v>
      </c>
      <c r="AC273" s="74" t="s">
        <v>793</v>
      </c>
      <c r="AD273" t="s">
        <v>794</v>
      </c>
      <c r="AE273" s="75" t="str">
        <f>HYPERLINK("https://twitter.com/cnnindonesia/status/1493157267478556674")</f>
        <v>https://twitter.com/cnnindonesia/status/1493157267478556674</v>
      </c>
      <c r="AF273" s="73">
        <v>44606.400555555556</v>
      </c>
      <c r="AG273" s="77">
        <v>44606</v>
      </c>
      <c r="AH273" s="74" t="s">
        <v>978</v>
      </c>
      <c r="AI273" t="b">
        <v>0</v>
      </c>
      <c r="AV273" s="75" t="str">
        <f>HYPERLINK("https://pbs.twimg.com/profile_images/669793728970682369/CaHHKPMc_normal.png")</f>
        <v>https://pbs.twimg.com/profile_images/669793728970682369/CaHHKPMc_normal.png</v>
      </c>
      <c r="AW273" s="74" t="s">
        <v>1205</v>
      </c>
      <c r="AX273" s="74" t="s">
        <v>1205</v>
      </c>
      <c r="AZ273" s="74" t="s">
        <v>1384</v>
      </c>
      <c r="BA273" s="74" t="s">
        <v>1384</v>
      </c>
      <c r="BB273" s="74" t="s">
        <v>1384</v>
      </c>
      <c r="BC273" s="74" t="s">
        <v>1205</v>
      </c>
      <c r="BD273">
        <v>17128975</v>
      </c>
      <c r="BJ273" s="44">
        <v>0</v>
      </c>
      <c r="BK273" s="45">
        <v>0</v>
      </c>
      <c r="BL273" s="44">
        <v>1</v>
      </c>
      <c r="BM273" s="45">
        <v>10</v>
      </c>
      <c r="BN273" s="44">
        <v>0</v>
      </c>
      <c r="BO273" s="45">
        <v>0</v>
      </c>
      <c r="BP273" s="44">
        <v>9</v>
      </c>
      <c r="BQ273" s="45">
        <v>90</v>
      </c>
      <c r="BR273" s="44">
        <v>10</v>
      </c>
      <c r="BS273">
        <v>8</v>
      </c>
      <c r="BT273" s="112" t="str">
        <f>REPLACE(INDEX(GroupVertices[Group],MATCH("~"&amp;Edges[[#This Row],[Vertex 1]],GroupVertices[Vertex],0)),1,1,"")</f>
        <v>5</v>
      </c>
      <c r="BU273" s="112" t="str">
        <f>REPLACE(INDEX(GroupVertices[Group],MATCH("~"&amp;Edges[[#This Row],[Vertex 2]],GroupVertices[Vertex],0)),1,1,"")</f>
        <v>5</v>
      </c>
    </row>
    <row r="274" spans="1:73" ht="15">
      <c r="A274" s="59" t="s">
        <v>329</v>
      </c>
      <c r="B274" s="59" t="s">
        <v>335</v>
      </c>
      <c r="C274" s="60"/>
      <c r="D274" s="61"/>
      <c r="E274" s="62"/>
      <c r="F274" s="63"/>
      <c r="G274" s="60"/>
      <c r="H274" s="64"/>
      <c r="I274" s="65"/>
      <c r="J274" s="65"/>
      <c r="K274" s="30" t="s">
        <v>65</v>
      </c>
      <c r="L274" s="72">
        <v>274</v>
      </c>
      <c r="M2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4" s="67"/>
      <c r="O274" t="s">
        <v>484</v>
      </c>
      <c r="P274" s="73">
        <v>44606.66840277778</v>
      </c>
      <c r="Q274" t="s">
        <v>665</v>
      </c>
      <c r="R274">
        <v>0</v>
      </c>
      <c r="S274">
        <v>0</v>
      </c>
      <c r="T274">
        <v>0</v>
      </c>
      <c r="U274">
        <v>0</v>
      </c>
      <c r="AC274" s="74" t="s">
        <v>789</v>
      </c>
      <c r="AD274" t="s">
        <v>794</v>
      </c>
      <c r="AE274" s="75" t="str">
        <f>HYPERLINK("https://twitter.com/pmf_qu/status/1493254332262719492")</f>
        <v>https://twitter.com/pmf_qu/status/1493254332262719492</v>
      </c>
      <c r="AF274" s="73">
        <v>44606.66840277778</v>
      </c>
      <c r="AG274" s="77">
        <v>44606</v>
      </c>
      <c r="AH274" s="74" t="s">
        <v>979</v>
      </c>
      <c r="AV274" s="75" t="str">
        <f>HYPERLINK("https://abs.twimg.com/sticky/default_profile_images/default_profile_normal.png")</f>
        <v>https://abs.twimg.com/sticky/default_profile_images/default_profile_normal.png</v>
      </c>
      <c r="AW274" s="74" t="s">
        <v>1207</v>
      </c>
      <c r="AX274" s="74" t="s">
        <v>1207</v>
      </c>
      <c r="AZ274" s="74" t="s">
        <v>1384</v>
      </c>
      <c r="BA274" s="74" t="s">
        <v>1205</v>
      </c>
      <c r="BB274" s="74" t="s">
        <v>1384</v>
      </c>
      <c r="BC274" s="74" t="s">
        <v>1205</v>
      </c>
      <c r="BD274" s="74" t="s">
        <v>1474</v>
      </c>
      <c r="BJ274" s="44">
        <v>3</v>
      </c>
      <c r="BK274" s="45">
        <v>30</v>
      </c>
      <c r="BL274" s="44">
        <v>1</v>
      </c>
      <c r="BM274" s="45">
        <v>10</v>
      </c>
      <c r="BN274" s="44">
        <v>0</v>
      </c>
      <c r="BO274" s="45">
        <v>0</v>
      </c>
      <c r="BP274" s="44">
        <v>6</v>
      </c>
      <c r="BQ274" s="45">
        <v>60</v>
      </c>
      <c r="BR274" s="44">
        <v>10</v>
      </c>
      <c r="BS274">
        <v>1</v>
      </c>
      <c r="BT274" s="112" t="str">
        <f>REPLACE(INDEX(GroupVertices[Group],MATCH("~"&amp;Edges[[#This Row],[Vertex 1]],GroupVertices[Vertex],0)),1,1,"")</f>
        <v>5</v>
      </c>
      <c r="BU274" s="112" t="str">
        <f>REPLACE(INDEX(GroupVertices[Group],MATCH("~"&amp;Edges[[#This Row],[Vertex 2]],GroupVertices[Vertex],0)),1,1,"")</f>
        <v>5</v>
      </c>
    </row>
    <row r="275" spans="1:73" ht="15">
      <c r="A275" s="59" t="s">
        <v>336</v>
      </c>
      <c r="B275" s="59" t="s">
        <v>336</v>
      </c>
      <c r="C275" s="60"/>
      <c r="D275" s="61"/>
      <c r="E275" s="62"/>
      <c r="F275" s="63"/>
      <c r="G275" s="60"/>
      <c r="H275" s="64"/>
      <c r="I275" s="65"/>
      <c r="J275" s="65"/>
      <c r="K275" s="30" t="s">
        <v>65</v>
      </c>
      <c r="L275" s="72">
        <v>275</v>
      </c>
      <c r="M2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5" s="67"/>
      <c r="O275" t="s">
        <v>177</v>
      </c>
      <c r="P275" s="73">
        <v>44588.15153935185</v>
      </c>
      <c r="Q275" t="s">
        <v>666</v>
      </c>
      <c r="R275">
        <v>37</v>
      </c>
      <c r="S275">
        <v>220</v>
      </c>
      <c r="T275">
        <v>26</v>
      </c>
      <c r="U275">
        <v>1</v>
      </c>
      <c r="AC275" s="74" t="s">
        <v>786</v>
      </c>
      <c r="AD275" t="s">
        <v>794</v>
      </c>
      <c r="AE275" s="75" t="str">
        <f>HYPERLINK("https://twitter.com/mardanialisera/status/1486544046499590145")</f>
        <v>https://twitter.com/mardanialisera/status/1486544046499590145</v>
      </c>
      <c r="AF275" s="73">
        <v>44588.15153935185</v>
      </c>
      <c r="AG275" s="77">
        <v>44588</v>
      </c>
      <c r="AH275" s="74" t="s">
        <v>980</v>
      </c>
      <c r="AV275" s="75" t="str">
        <f>HYPERLINK("https://pbs.twimg.com/profile_images/1720330836598558720/gI9Swboi_normal.jpg")</f>
        <v>https://pbs.twimg.com/profile_images/1720330836598558720/gI9Swboi_normal.jpg</v>
      </c>
      <c r="AW275" s="74" t="s">
        <v>1208</v>
      </c>
      <c r="AX275" s="74" t="s">
        <v>1208</v>
      </c>
      <c r="AZ275" s="74" t="s">
        <v>1384</v>
      </c>
      <c r="BA275" s="74" t="s">
        <v>1384</v>
      </c>
      <c r="BB275" s="74" t="s">
        <v>1384</v>
      </c>
      <c r="BC275" s="74" t="s">
        <v>1208</v>
      </c>
      <c r="BD275">
        <v>122020937</v>
      </c>
      <c r="BJ275" s="44">
        <v>0</v>
      </c>
      <c r="BK275" s="45">
        <v>0</v>
      </c>
      <c r="BL275" s="44">
        <v>0</v>
      </c>
      <c r="BM275" s="45">
        <v>0</v>
      </c>
      <c r="BN275" s="44">
        <v>0</v>
      </c>
      <c r="BO275" s="45">
        <v>0</v>
      </c>
      <c r="BP275" s="44">
        <v>45</v>
      </c>
      <c r="BQ275" s="45">
        <v>100</v>
      </c>
      <c r="BR275" s="44">
        <v>45</v>
      </c>
      <c r="BS275">
        <v>8</v>
      </c>
      <c r="BT275" s="112" t="str">
        <f>REPLACE(INDEX(GroupVertices[Group],MATCH("~"&amp;Edges[[#This Row],[Vertex 1]],GroupVertices[Vertex],0)),1,1,"")</f>
        <v>10</v>
      </c>
      <c r="BU275" s="112" t="str">
        <f>REPLACE(INDEX(GroupVertices[Group],MATCH("~"&amp;Edges[[#This Row],[Vertex 2]],GroupVertices[Vertex],0)),1,1,"")</f>
        <v>10</v>
      </c>
    </row>
    <row r="276" spans="1:73" ht="15">
      <c r="A276" s="59" t="s">
        <v>329</v>
      </c>
      <c r="B276" s="59" t="s">
        <v>336</v>
      </c>
      <c r="C276" s="60"/>
      <c r="D276" s="61"/>
      <c r="E276" s="62"/>
      <c r="F276" s="63"/>
      <c r="G276" s="60"/>
      <c r="H276" s="64"/>
      <c r="I276" s="65"/>
      <c r="J276" s="65"/>
      <c r="K276" s="30" t="s">
        <v>65</v>
      </c>
      <c r="L276" s="72">
        <v>276</v>
      </c>
      <c r="M2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6" s="67"/>
      <c r="O276" t="s">
        <v>484</v>
      </c>
      <c r="P276" s="73">
        <v>44603.121458333335</v>
      </c>
      <c r="Q276" t="s">
        <v>667</v>
      </c>
      <c r="R276">
        <v>0</v>
      </c>
      <c r="S276">
        <v>0</v>
      </c>
      <c r="T276">
        <v>0</v>
      </c>
      <c r="U276">
        <v>0</v>
      </c>
      <c r="W276" s="74" t="s">
        <v>682</v>
      </c>
      <c r="AC276" s="74" t="s">
        <v>789</v>
      </c>
      <c r="AD276" t="s">
        <v>794</v>
      </c>
      <c r="AE276" s="75" t="str">
        <f>HYPERLINK("https://twitter.com/pmf_qu/status/1491968962422194177")</f>
        <v>https://twitter.com/pmf_qu/status/1491968962422194177</v>
      </c>
      <c r="AF276" s="73">
        <v>44603.121458333335</v>
      </c>
      <c r="AG276" s="77">
        <v>44603</v>
      </c>
      <c r="AH276" s="74" t="s">
        <v>981</v>
      </c>
      <c r="AV276" s="75" t="str">
        <f>HYPERLINK("https://abs.twimg.com/sticky/default_profile_images/default_profile_normal.png")</f>
        <v>https://abs.twimg.com/sticky/default_profile_images/default_profile_normal.png</v>
      </c>
      <c r="AW276" s="74" t="s">
        <v>1210</v>
      </c>
      <c r="AX276" s="74" t="s">
        <v>1210</v>
      </c>
      <c r="AZ276" s="74" t="s">
        <v>1384</v>
      </c>
      <c r="BA276" s="74" t="s">
        <v>1209</v>
      </c>
      <c r="BB276" s="74" t="s">
        <v>1384</v>
      </c>
      <c r="BC276" s="74" t="s">
        <v>1209</v>
      </c>
      <c r="BD276" s="74" t="s">
        <v>1474</v>
      </c>
      <c r="BJ276" s="44">
        <v>2</v>
      </c>
      <c r="BK276" s="45">
        <v>10</v>
      </c>
      <c r="BL276" s="44">
        <v>0</v>
      </c>
      <c r="BM276" s="45">
        <v>0</v>
      </c>
      <c r="BN276" s="44">
        <v>0</v>
      </c>
      <c r="BO276" s="45">
        <v>0</v>
      </c>
      <c r="BP276" s="44">
        <v>18</v>
      </c>
      <c r="BQ276" s="45">
        <v>90</v>
      </c>
      <c r="BR276" s="44">
        <v>20</v>
      </c>
      <c r="BS276">
        <v>8</v>
      </c>
      <c r="BT276" s="112" t="str">
        <f>REPLACE(INDEX(GroupVertices[Group],MATCH("~"&amp;Edges[[#This Row],[Vertex 1]],GroupVertices[Vertex],0)),1,1,"")</f>
        <v>5</v>
      </c>
      <c r="BU276" s="112" t="str">
        <f>REPLACE(INDEX(GroupVertices[Group],MATCH("~"&amp;Edges[[#This Row],[Vertex 2]],GroupVertices[Vertex],0)),1,1,"")</f>
        <v>10</v>
      </c>
    </row>
    <row r="277" spans="1:73" ht="15">
      <c r="A277" s="59" t="s">
        <v>337</v>
      </c>
      <c r="B277" s="59" t="s">
        <v>337</v>
      </c>
      <c r="C277" s="60"/>
      <c r="D277" s="61"/>
      <c r="E277" s="62"/>
      <c r="F277" s="63"/>
      <c r="G277" s="60"/>
      <c r="H277" s="64"/>
      <c r="I277" s="65"/>
      <c r="J277" s="65"/>
      <c r="K277" s="30" t="s">
        <v>65</v>
      </c>
      <c r="L277" s="72">
        <v>277</v>
      </c>
      <c r="M2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7" s="67"/>
      <c r="O277" t="s">
        <v>177</v>
      </c>
      <c r="P277" s="73">
        <v>44587.91478009259</v>
      </c>
      <c r="Q277" t="s">
        <v>668</v>
      </c>
      <c r="R277">
        <v>376</v>
      </c>
      <c r="S277">
        <v>1339</v>
      </c>
      <c r="T277">
        <v>41</v>
      </c>
      <c r="U277">
        <v>17</v>
      </c>
      <c r="X277" s="75" t="str">
        <f>HYPERLINK("https://keuangannews.id/jokowi-disebut-melakukan-kkn-terang-terangan-gibran-dan-bobby-nasution-disinggung/")</f>
        <v>https://keuangannews.id/jokowi-disebut-melakukan-kkn-terang-terangan-gibran-dan-bobby-nasution-disinggung/</v>
      </c>
      <c r="Y277" t="s">
        <v>723</v>
      </c>
      <c r="AC277" s="74" t="s">
        <v>790</v>
      </c>
      <c r="AD277" t="s">
        <v>794</v>
      </c>
      <c r="AE277" s="75" t="str">
        <f>HYPERLINK("https://twitter.com/keuangannews_id/status/1486458245665509378")</f>
        <v>https://twitter.com/keuangannews_id/status/1486458245665509378</v>
      </c>
      <c r="AF277" s="73">
        <v>44587.91478009259</v>
      </c>
      <c r="AG277" s="77">
        <v>44587</v>
      </c>
      <c r="AH277" s="74" t="s">
        <v>982</v>
      </c>
      <c r="AI277" t="b">
        <v>0</v>
      </c>
      <c r="AV277" s="75" t="str">
        <f>HYPERLINK("https://pbs.twimg.com/profile_images/1226436191215505408/du40qrKr_normal.jpg")</f>
        <v>https://pbs.twimg.com/profile_images/1226436191215505408/du40qrKr_normal.jpg</v>
      </c>
      <c r="AW277" s="74" t="s">
        <v>1211</v>
      </c>
      <c r="AX277" s="74" t="s">
        <v>1211</v>
      </c>
      <c r="AZ277" s="74" t="s">
        <v>1384</v>
      </c>
      <c r="BA277" s="74" t="s">
        <v>1384</v>
      </c>
      <c r="BB277" s="74" t="s">
        <v>1384</v>
      </c>
      <c r="BC277" s="74" t="s">
        <v>1211</v>
      </c>
      <c r="BD277" s="74" t="s">
        <v>1331</v>
      </c>
      <c r="BJ277" s="44">
        <v>0</v>
      </c>
      <c r="BK277" s="45">
        <v>0</v>
      </c>
      <c r="BL277" s="44">
        <v>1</v>
      </c>
      <c r="BM277" s="45">
        <v>8.333333333333334</v>
      </c>
      <c r="BN277" s="44">
        <v>0</v>
      </c>
      <c r="BO277" s="45">
        <v>0</v>
      </c>
      <c r="BP277" s="44">
        <v>10</v>
      </c>
      <c r="BQ277" s="45">
        <v>83.33333333333333</v>
      </c>
      <c r="BR277" s="44">
        <v>12</v>
      </c>
      <c r="BS277">
        <v>8</v>
      </c>
      <c r="BT277" s="112" t="str">
        <f>REPLACE(INDEX(GroupVertices[Group],MATCH("~"&amp;Edges[[#This Row],[Vertex 1]],GroupVertices[Vertex],0)),1,1,"")</f>
        <v>5</v>
      </c>
      <c r="BU277" s="112" t="str">
        <f>REPLACE(INDEX(GroupVertices[Group],MATCH("~"&amp;Edges[[#This Row],[Vertex 2]],GroupVertices[Vertex],0)),1,1,"")</f>
        <v>5</v>
      </c>
    </row>
    <row r="278" spans="1:73" ht="15">
      <c r="A278" s="59" t="s">
        <v>329</v>
      </c>
      <c r="B278" s="59" t="s">
        <v>337</v>
      </c>
      <c r="C278" s="60"/>
      <c r="D278" s="61"/>
      <c r="E278" s="62"/>
      <c r="F278" s="63"/>
      <c r="G278" s="60"/>
      <c r="H278" s="64"/>
      <c r="I278" s="65"/>
      <c r="J278" s="65"/>
      <c r="K278" s="30" t="s">
        <v>65</v>
      </c>
      <c r="L278" s="72">
        <v>278</v>
      </c>
      <c r="M2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8" s="67"/>
      <c r="O278" t="s">
        <v>484</v>
      </c>
      <c r="P278" s="73">
        <v>44589.0778125</v>
      </c>
      <c r="Q278" t="s">
        <v>669</v>
      </c>
      <c r="R278">
        <v>0</v>
      </c>
      <c r="S278">
        <v>0</v>
      </c>
      <c r="T278">
        <v>0</v>
      </c>
      <c r="U278">
        <v>0</v>
      </c>
      <c r="W278" s="74" t="s">
        <v>706</v>
      </c>
      <c r="AC278" s="74" t="s">
        <v>789</v>
      </c>
      <c r="AD278" t="s">
        <v>794</v>
      </c>
      <c r="AE278" s="75" t="str">
        <f>HYPERLINK("https://twitter.com/pmf_qu/status/1486879713302052866")</f>
        <v>https://twitter.com/pmf_qu/status/1486879713302052866</v>
      </c>
      <c r="AF278" s="73">
        <v>44589.0778125</v>
      </c>
      <c r="AG278" s="77">
        <v>44589</v>
      </c>
      <c r="AH278" s="74" t="s">
        <v>983</v>
      </c>
      <c r="AV278" s="75" t="str">
        <f>HYPERLINK("https://abs.twimg.com/sticky/default_profile_images/default_profile_normal.png")</f>
        <v>https://abs.twimg.com/sticky/default_profile_images/default_profile_normal.png</v>
      </c>
      <c r="AW278" s="74" t="s">
        <v>1213</v>
      </c>
      <c r="AX278" s="74" t="s">
        <v>1213</v>
      </c>
      <c r="AZ278" s="74" t="s">
        <v>1384</v>
      </c>
      <c r="BA278" s="74" t="s">
        <v>1211</v>
      </c>
      <c r="BB278" s="74" t="s">
        <v>1384</v>
      </c>
      <c r="BC278" s="74" t="s">
        <v>1211</v>
      </c>
      <c r="BD278" s="74" t="s">
        <v>1474</v>
      </c>
      <c r="BJ278" s="44">
        <v>0</v>
      </c>
      <c r="BK278" s="45">
        <v>0</v>
      </c>
      <c r="BL278" s="44">
        <v>1</v>
      </c>
      <c r="BM278" s="45">
        <v>4</v>
      </c>
      <c r="BN278" s="44">
        <v>0</v>
      </c>
      <c r="BO278" s="45">
        <v>0</v>
      </c>
      <c r="BP278" s="44">
        <v>24</v>
      </c>
      <c r="BQ278" s="45">
        <v>96</v>
      </c>
      <c r="BR278" s="44">
        <v>25</v>
      </c>
      <c r="BS278">
        <v>1</v>
      </c>
      <c r="BT278" s="112" t="str">
        <f>REPLACE(INDEX(GroupVertices[Group],MATCH("~"&amp;Edges[[#This Row],[Vertex 1]],GroupVertices[Vertex],0)),1,1,"")</f>
        <v>5</v>
      </c>
      <c r="BU278" s="112" t="str">
        <f>REPLACE(INDEX(GroupVertices[Group],MATCH("~"&amp;Edges[[#This Row],[Vertex 2]],GroupVertices[Vertex],0)),1,1,"")</f>
        <v>5</v>
      </c>
    </row>
    <row r="279" spans="1:73" ht="15">
      <c r="A279" s="59" t="s">
        <v>338</v>
      </c>
      <c r="B279" s="59" t="s">
        <v>338</v>
      </c>
      <c r="C279" s="60"/>
      <c r="D279" s="61"/>
      <c r="E279" s="62"/>
      <c r="F279" s="63"/>
      <c r="G279" s="60"/>
      <c r="H279" s="64"/>
      <c r="I279" s="65"/>
      <c r="J279" s="65"/>
      <c r="K279" s="30" t="s">
        <v>65</v>
      </c>
      <c r="L279" s="72">
        <v>279</v>
      </c>
      <c r="M2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9" s="67"/>
      <c r="O279" t="s">
        <v>177</v>
      </c>
      <c r="P279" s="73">
        <v>44611.39349537037</v>
      </c>
      <c r="Q279" t="s">
        <v>670</v>
      </c>
      <c r="R279">
        <v>158</v>
      </c>
      <c r="S279">
        <v>768</v>
      </c>
      <c r="T279">
        <v>38</v>
      </c>
      <c r="U279">
        <v>6</v>
      </c>
      <c r="X279" s="75" t="str">
        <f>HYPERLINK("https://youtu.be/X5TlArCX_Mo")</f>
        <v>https://youtu.be/X5TlArCX_Mo</v>
      </c>
      <c r="Y279" t="s">
        <v>717</v>
      </c>
      <c r="AC279" s="74" t="s">
        <v>787</v>
      </c>
      <c r="AD279" t="s">
        <v>794</v>
      </c>
      <c r="AE279" s="75" t="str">
        <f>HYPERLINK("https://twitter.com/geiszchalifah/status/1494966646879899651")</f>
        <v>https://twitter.com/geiszchalifah/status/1494966646879899651</v>
      </c>
      <c r="AF279" s="73">
        <v>44611.39349537037</v>
      </c>
      <c r="AG279" s="77">
        <v>44611</v>
      </c>
      <c r="AH279" s="74" t="s">
        <v>984</v>
      </c>
      <c r="AI279" t="b">
        <v>0</v>
      </c>
      <c r="AV279" s="75" t="str">
        <f>HYPERLINK("https://pbs.twimg.com/profile_images/1430381487078055943/WK_pywoN_normal.jpg")</f>
        <v>https://pbs.twimg.com/profile_images/1430381487078055943/WK_pywoN_normal.jpg</v>
      </c>
      <c r="AW279" s="74" t="s">
        <v>1214</v>
      </c>
      <c r="AX279" s="74" t="s">
        <v>1214</v>
      </c>
      <c r="AZ279" s="74" t="s">
        <v>1384</v>
      </c>
      <c r="BA279" s="74" t="s">
        <v>1384</v>
      </c>
      <c r="BB279" s="74" t="s">
        <v>1384</v>
      </c>
      <c r="BC279" s="74" t="s">
        <v>1214</v>
      </c>
      <c r="BD279" s="74" t="s">
        <v>1320</v>
      </c>
      <c r="BJ279" s="44">
        <v>2</v>
      </c>
      <c r="BK279" s="45">
        <v>4.878048780487805</v>
      </c>
      <c r="BL279" s="44">
        <v>0</v>
      </c>
      <c r="BM279" s="45">
        <v>0</v>
      </c>
      <c r="BN279" s="44">
        <v>0</v>
      </c>
      <c r="BO279" s="45">
        <v>0</v>
      </c>
      <c r="BP279" s="44">
        <v>39</v>
      </c>
      <c r="BQ279" s="45">
        <v>95.1219512195122</v>
      </c>
      <c r="BR279" s="44">
        <v>41</v>
      </c>
      <c r="BS279">
        <v>1</v>
      </c>
      <c r="BT279" s="112" t="str">
        <f>REPLACE(INDEX(GroupVertices[Group],MATCH("~"&amp;Edges[[#This Row],[Vertex 1]],GroupVertices[Vertex],0)),1,1,"")</f>
        <v>8</v>
      </c>
      <c r="BU279" s="112" t="str">
        <f>REPLACE(INDEX(GroupVertices[Group],MATCH("~"&amp;Edges[[#This Row],[Vertex 2]],GroupVertices[Vertex],0)),1,1,"")</f>
        <v>8</v>
      </c>
    </row>
    <row r="280" spans="1:73" ht="15">
      <c r="A280" s="59" t="s">
        <v>329</v>
      </c>
      <c r="B280" s="59" t="s">
        <v>338</v>
      </c>
      <c r="C280" s="60"/>
      <c r="D280" s="61"/>
      <c r="E280" s="62"/>
      <c r="F280" s="63"/>
      <c r="G280" s="60"/>
      <c r="H280" s="64"/>
      <c r="I280" s="65"/>
      <c r="J280" s="65"/>
      <c r="K280" s="30" t="s">
        <v>65</v>
      </c>
      <c r="L280" s="72">
        <v>280</v>
      </c>
      <c r="M2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0" s="67"/>
      <c r="O280" t="s">
        <v>484</v>
      </c>
      <c r="P280" s="73">
        <v>44612.40498842593</v>
      </c>
      <c r="Q280" t="s">
        <v>671</v>
      </c>
      <c r="R280">
        <v>0</v>
      </c>
      <c r="S280">
        <v>0</v>
      </c>
      <c r="T280">
        <v>0</v>
      </c>
      <c r="U280">
        <v>0</v>
      </c>
      <c r="AC280" s="74" t="s">
        <v>789</v>
      </c>
      <c r="AD280" t="s">
        <v>794</v>
      </c>
      <c r="AE280" s="75" t="str">
        <f>HYPERLINK("https://twitter.com/pmf_qu/status/1495333199509016578")</f>
        <v>https://twitter.com/pmf_qu/status/1495333199509016578</v>
      </c>
      <c r="AF280" s="73">
        <v>44612.40498842593</v>
      </c>
      <c r="AG280" s="77">
        <v>44612</v>
      </c>
      <c r="AH280" s="74" t="s">
        <v>985</v>
      </c>
      <c r="AV280" s="75" t="str">
        <f>HYPERLINK("https://abs.twimg.com/sticky/default_profile_images/default_profile_normal.png")</f>
        <v>https://abs.twimg.com/sticky/default_profile_images/default_profile_normal.png</v>
      </c>
      <c r="AW280" s="74" t="s">
        <v>1215</v>
      </c>
      <c r="AX280" s="74" t="s">
        <v>1215</v>
      </c>
      <c r="AZ280" s="74" t="s">
        <v>1384</v>
      </c>
      <c r="BA280" s="74" t="s">
        <v>1214</v>
      </c>
      <c r="BB280" s="74" t="s">
        <v>1384</v>
      </c>
      <c r="BC280" s="74" t="s">
        <v>1214</v>
      </c>
      <c r="BD280" s="74" t="s">
        <v>1474</v>
      </c>
      <c r="BJ280" s="44">
        <v>6</v>
      </c>
      <c r="BK280" s="45">
        <v>28.571428571428573</v>
      </c>
      <c r="BL280" s="44">
        <v>1</v>
      </c>
      <c r="BM280" s="45">
        <v>4.761904761904762</v>
      </c>
      <c r="BN280" s="44">
        <v>0</v>
      </c>
      <c r="BO280" s="45">
        <v>0</v>
      </c>
      <c r="BP280" s="44">
        <v>14</v>
      </c>
      <c r="BQ280" s="45">
        <v>66.66666666666667</v>
      </c>
      <c r="BR280" s="44">
        <v>21</v>
      </c>
      <c r="BS280">
        <v>1</v>
      </c>
      <c r="BT280" s="112" t="str">
        <f>REPLACE(INDEX(GroupVertices[Group],MATCH("~"&amp;Edges[[#This Row],[Vertex 1]],GroupVertices[Vertex],0)),1,1,"")</f>
        <v>5</v>
      </c>
      <c r="BU280" s="112" t="str">
        <f>REPLACE(INDEX(GroupVertices[Group],MATCH("~"&amp;Edges[[#This Row],[Vertex 2]],GroupVertices[Vertex],0)),1,1,"")</f>
        <v>8</v>
      </c>
    </row>
    <row r="281" spans="1:73" ht="15">
      <c r="A281" s="59" t="s">
        <v>339</v>
      </c>
      <c r="B281" s="59" t="s">
        <v>339</v>
      </c>
      <c r="C281" s="60"/>
      <c r="D281" s="61"/>
      <c r="E281" s="62"/>
      <c r="F281" s="63"/>
      <c r="G281" s="60"/>
      <c r="H281" s="64"/>
      <c r="I281" s="65"/>
      <c r="J281" s="65"/>
      <c r="K281" s="30" t="s">
        <v>65</v>
      </c>
      <c r="L281" s="72">
        <v>281</v>
      </c>
      <c r="M2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1" s="67"/>
      <c r="O281" t="s">
        <v>177</v>
      </c>
      <c r="P281" s="73">
        <v>44596.389398148145</v>
      </c>
      <c r="Q281" t="s">
        <v>672</v>
      </c>
      <c r="R281">
        <v>111</v>
      </c>
      <c r="S281">
        <v>461</v>
      </c>
      <c r="T281">
        <v>19</v>
      </c>
      <c r="U281">
        <v>7</v>
      </c>
      <c r="X281" s="75" t="str">
        <f>HYPERLINK("http://www.gelora.co/2022/02/anggota-dpr-desak-kemenhub-usut-tuntas.html")</f>
        <v>http://www.gelora.co/2022/02/anggota-dpr-desak-kemenhub-usut-tuntas.html</v>
      </c>
      <c r="Y281" t="s">
        <v>724</v>
      </c>
      <c r="AC281" s="74" t="s">
        <v>787</v>
      </c>
      <c r="AD281" t="s">
        <v>794</v>
      </c>
      <c r="AE281" s="75" t="str">
        <f>HYPERLINK("https://twitter.com/geloraco/status/1489529343517020160")</f>
        <v>https://twitter.com/geloraco/status/1489529343517020160</v>
      </c>
      <c r="AF281" s="73">
        <v>44596.389398148145</v>
      </c>
      <c r="AG281" s="77">
        <v>44596</v>
      </c>
      <c r="AH281" s="74" t="s">
        <v>986</v>
      </c>
      <c r="AI281" t="b">
        <v>0</v>
      </c>
      <c r="AV281" s="75" t="str">
        <f>HYPERLINK("https://pbs.twimg.com/profile_images/1354095189636210690/SbdpXIAi_normal.jpg")</f>
        <v>https://pbs.twimg.com/profile_images/1354095189636210690/SbdpXIAi_normal.jpg</v>
      </c>
      <c r="AW281" s="74" t="s">
        <v>1216</v>
      </c>
      <c r="AX281" s="74" t="s">
        <v>1216</v>
      </c>
      <c r="AZ281" s="74" t="s">
        <v>1384</v>
      </c>
      <c r="BA281" s="74" t="s">
        <v>1384</v>
      </c>
      <c r="BB281" s="74" t="s">
        <v>1384</v>
      </c>
      <c r="BC281" s="74" t="s">
        <v>1216</v>
      </c>
      <c r="BD281">
        <v>3319260420</v>
      </c>
      <c r="BJ281" s="44">
        <v>0</v>
      </c>
      <c r="BK281" s="45">
        <v>0</v>
      </c>
      <c r="BL281" s="44">
        <v>0</v>
      </c>
      <c r="BM281" s="45">
        <v>0</v>
      </c>
      <c r="BN281" s="44">
        <v>0</v>
      </c>
      <c r="BO281" s="45">
        <v>0</v>
      </c>
      <c r="BP281" s="44">
        <v>15</v>
      </c>
      <c r="BQ281" s="45">
        <v>100</v>
      </c>
      <c r="BR281" s="44">
        <v>15</v>
      </c>
      <c r="BS281">
        <v>27</v>
      </c>
      <c r="BT281" s="112" t="str">
        <f>REPLACE(INDEX(GroupVertices[Group],MATCH("~"&amp;Edges[[#This Row],[Vertex 1]],GroupVertices[Vertex],0)),1,1,"")</f>
        <v>12</v>
      </c>
      <c r="BU281" s="112" t="str">
        <f>REPLACE(INDEX(GroupVertices[Group],MATCH("~"&amp;Edges[[#This Row],[Vertex 2]],GroupVertices[Vertex],0)),1,1,"")</f>
        <v>12</v>
      </c>
    </row>
    <row r="282" spans="1:73" ht="15">
      <c r="A282" s="59" t="s">
        <v>329</v>
      </c>
      <c r="B282" s="59" t="s">
        <v>339</v>
      </c>
      <c r="C282" s="60"/>
      <c r="D282" s="61"/>
      <c r="E282" s="62"/>
      <c r="F282" s="63"/>
      <c r="G282" s="60"/>
      <c r="H282" s="64"/>
      <c r="I282" s="65"/>
      <c r="J282" s="65"/>
      <c r="K282" s="30" t="s">
        <v>65</v>
      </c>
      <c r="L282" s="72">
        <v>282</v>
      </c>
      <c r="M2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2" s="67"/>
      <c r="O282" t="s">
        <v>484</v>
      </c>
      <c r="P282" s="73">
        <v>44610.63181712963</v>
      </c>
      <c r="Q282" t="s">
        <v>673</v>
      </c>
      <c r="R282">
        <v>0</v>
      </c>
      <c r="S282">
        <v>0</v>
      </c>
      <c r="T282">
        <v>0</v>
      </c>
      <c r="U282">
        <v>0</v>
      </c>
      <c r="W282" s="74" t="s">
        <v>707</v>
      </c>
      <c r="AC282" s="74" t="s">
        <v>789</v>
      </c>
      <c r="AD282" t="s">
        <v>794</v>
      </c>
      <c r="AE282" s="75" t="str">
        <f>HYPERLINK("https://twitter.com/pmf_qu/status/1494690623349149697")</f>
        <v>https://twitter.com/pmf_qu/status/1494690623349149697</v>
      </c>
      <c r="AF282" s="73">
        <v>44610.63181712963</v>
      </c>
      <c r="AG282" s="77">
        <v>44610</v>
      </c>
      <c r="AH282" s="74" t="s">
        <v>987</v>
      </c>
      <c r="AV282" s="75" t="str">
        <f>HYPERLINK("https://abs.twimg.com/sticky/default_profile_images/default_profile_normal.png")</f>
        <v>https://abs.twimg.com/sticky/default_profile_images/default_profile_normal.png</v>
      </c>
      <c r="AW282" s="74" t="s">
        <v>1218</v>
      </c>
      <c r="AX282" s="74" t="s">
        <v>1218</v>
      </c>
      <c r="AZ282" s="74" t="s">
        <v>1384</v>
      </c>
      <c r="BA282" s="74" t="s">
        <v>1217</v>
      </c>
      <c r="BB282" s="74" t="s">
        <v>1384</v>
      </c>
      <c r="BC282" s="74" t="s">
        <v>1217</v>
      </c>
      <c r="BD282" s="74" t="s">
        <v>1474</v>
      </c>
      <c r="BJ282" s="44">
        <v>4</v>
      </c>
      <c r="BK282" s="45">
        <v>11.764705882352942</v>
      </c>
      <c r="BL282" s="44">
        <v>1</v>
      </c>
      <c r="BM282" s="45">
        <v>2.9411764705882355</v>
      </c>
      <c r="BN282" s="44">
        <v>0</v>
      </c>
      <c r="BO282" s="45">
        <v>0</v>
      </c>
      <c r="BP282" s="44">
        <v>29</v>
      </c>
      <c r="BQ282" s="45">
        <v>85.29411764705883</v>
      </c>
      <c r="BR282" s="44">
        <v>34</v>
      </c>
      <c r="BS282">
        <v>27</v>
      </c>
      <c r="BT282" s="112" t="str">
        <f>REPLACE(INDEX(GroupVertices[Group],MATCH("~"&amp;Edges[[#This Row],[Vertex 1]],GroupVertices[Vertex],0)),1,1,"")</f>
        <v>5</v>
      </c>
      <c r="BU282" s="112" t="str">
        <f>REPLACE(INDEX(GroupVertices[Group],MATCH("~"&amp;Edges[[#This Row],[Vertex 2]],GroupVertices[Vertex],0)),1,1,"")</f>
        <v>12</v>
      </c>
    </row>
    <row r="283" spans="1:73" ht="15">
      <c r="A283" s="59" t="s">
        <v>340</v>
      </c>
      <c r="B283" s="59" t="s">
        <v>340</v>
      </c>
      <c r="C283" s="60"/>
      <c r="D283" s="61"/>
      <c r="E283" s="62"/>
      <c r="F283" s="63"/>
      <c r="G283" s="60"/>
      <c r="H283" s="64"/>
      <c r="I283" s="65"/>
      <c r="J283" s="65"/>
      <c r="K283" s="30" t="s">
        <v>65</v>
      </c>
      <c r="L283" s="72">
        <v>283</v>
      </c>
      <c r="M2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3" s="67"/>
      <c r="O283" t="s">
        <v>177</v>
      </c>
      <c r="P283" s="73">
        <v>44574.265011574076</v>
      </c>
      <c r="Q283" t="s">
        <v>674</v>
      </c>
      <c r="R283">
        <v>541</v>
      </c>
      <c r="S283">
        <v>1565</v>
      </c>
      <c r="T283">
        <v>16</v>
      </c>
      <c r="U283">
        <v>41</v>
      </c>
      <c r="AA283" t="s">
        <v>780</v>
      </c>
      <c r="AB283" t="s">
        <v>784</v>
      </c>
      <c r="AC283" s="74" t="s">
        <v>787</v>
      </c>
      <c r="AD283" t="s">
        <v>794</v>
      </c>
      <c r="AE283" s="75" t="str">
        <f>HYPERLINK("https://twitter.com/nenkmonica/status/1481511735458959360")</f>
        <v>https://twitter.com/nenkmonica/status/1481511735458959360</v>
      </c>
      <c r="AF283" s="73">
        <v>44574.265011574076</v>
      </c>
      <c r="AG283" s="77">
        <v>44574</v>
      </c>
      <c r="AH283" s="74" t="s">
        <v>988</v>
      </c>
      <c r="AI283" t="b">
        <v>0</v>
      </c>
      <c r="AQ283" t="s">
        <v>1018</v>
      </c>
      <c r="AR283">
        <v>43449</v>
      </c>
      <c r="AV283" s="75" t="str">
        <f>HYPERLINK("https://pbs.twimg.com/ext_tw_video_thumb/1481511622984466432/pu/img/S3OCEWZDY1pkqGYa.jpg")</f>
        <v>https://pbs.twimg.com/ext_tw_video_thumb/1481511622984466432/pu/img/S3OCEWZDY1pkqGYa.jpg</v>
      </c>
      <c r="AW283" s="74" t="s">
        <v>1219</v>
      </c>
      <c r="AX283" s="74" t="s">
        <v>1219</v>
      </c>
      <c r="AZ283" s="74" t="s">
        <v>1384</v>
      </c>
      <c r="BA283" s="74" t="s">
        <v>1384</v>
      </c>
      <c r="BB283" s="74" t="s">
        <v>1384</v>
      </c>
      <c r="BC283" s="74" t="s">
        <v>1219</v>
      </c>
      <c r="BD283" s="74" t="s">
        <v>1476</v>
      </c>
      <c r="BJ283" s="44">
        <v>0</v>
      </c>
      <c r="BK283" s="45">
        <v>0</v>
      </c>
      <c r="BL283" s="44">
        <v>2</v>
      </c>
      <c r="BM283" s="45">
        <v>14.285714285714286</v>
      </c>
      <c r="BN283" s="44">
        <v>0</v>
      </c>
      <c r="BO283" s="45">
        <v>0</v>
      </c>
      <c r="BP283" s="44">
        <v>12</v>
      </c>
      <c r="BQ283" s="45">
        <v>85.71428571428571</v>
      </c>
      <c r="BR283" s="44">
        <v>14</v>
      </c>
      <c r="BS283">
        <v>1</v>
      </c>
      <c r="BT283" s="112" t="str">
        <f>REPLACE(INDEX(GroupVertices[Group],MATCH("~"&amp;Edges[[#This Row],[Vertex 1]],GroupVertices[Vertex],0)),1,1,"")</f>
        <v>5</v>
      </c>
      <c r="BU283" s="112" t="str">
        <f>REPLACE(INDEX(GroupVertices[Group],MATCH("~"&amp;Edges[[#This Row],[Vertex 2]],GroupVertices[Vertex],0)),1,1,"")</f>
        <v>5</v>
      </c>
    </row>
    <row r="284" spans="1:73" ht="15">
      <c r="A284" s="59" t="s">
        <v>329</v>
      </c>
      <c r="B284" s="59" t="s">
        <v>340</v>
      </c>
      <c r="C284" s="60"/>
      <c r="D284" s="61"/>
      <c r="E284" s="62"/>
      <c r="F284" s="63"/>
      <c r="G284" s="60"/>
      <c r="H284" s="64"/>
      <c r="I284" s="65"/>
      <c r="J284" s="65"/>
      <c r="K284" s="30" t="s">
        <v>65</v>
      </c>
      <c r="L284" s="72">
        <v>284</v>
      </c>
      <c r="M2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4" s="67"/>
      <c r="O284" t="s">
        <v>484</v>
      </c>
      <c r="P284" s="73">
        <v>44574.654282407406</v>
      </c>
      <c r="Q284" t="s">
        <v>675</v>
      </c>
      <c r="R284">
        <v>0</v>
      </c>
      <c r="S284">
        <v>0</v>
      </c>
      <c r="T284">
        <v>0</v>
      </c>
      <c r="U284">
        <v>0</v>
      </c>
      <c r="W284" s="74" t="s">
        <v>682</v>
      </c>
      <c r="AC284" s="74" t="s">
        <v>789</v>
      </c>
      <c r="AD284" t="s">
        <v>794</v>
      </c>
      <c r="AE284" s="75" t="str">
        <f>HYPERLINK("https://twitter.com/pmf_qu/status/1481652804226002944")</f>
        <v>https://twitter.com/pmf_qu/status/1481652804226002944</v>
      </c>
      <c r="AF284" s="73">
        <v>44574.654282407406</v>
      </c>
      <c r="AG284" s="77">
        <v>44574</v>
      </c>
      <c r="AH284" s="74" t="s">
        <v>989</v>
      </c>
      <c r="AV284" s="75" t="str">
        <f>HYPERLINK("https://abs.twimg.com/sticky/default_profile_images/default_profile_normal.png")</f>
        <v>https://abs.twimg.com/sticky/default_profile_images/default_profile_normal.png</v>
      </c>
      <c r="AW284" s="74" t="s">
        <v>1220</v>
      </c>
      <c r="AX284" s="74" t="s">
        <v>1220</v>
      </c>
      <c r="AZ284" s="74" t="s">
        <v>1384</v>
      </c>
      <c r="BA284" s="74" t="s">
        <v>1219</v>
      </c>
      <c r="BB284" s="74" t="s">
        <v>1384</v>
      </c>
      <c r="BC284" s="74" t="s">
        <v>1219</v>
      </c>
      <c r="BD284" s="74" t="s">
        <v>1474</v>
      </c>
      <c r="BJ284" s="44">
        <v>1</v>
      </c>
      <c r="BK284" s="45">
        <v>7.6923076923076925</v>
      </c>
      <c r="BL284" s="44">
        <v>0</v>
      </c>
      <c r="BM284" s="45">
        <v>0</v>
      </c>
      <c r="BN284" s="44">
        <v>0</v>
      </c>
      <c r="BO284" s="45">
        <v>0</v>
      </c>
      <c r="BP284" s="44">
        <v>12</v>
      </c>
      <c r="BQ284" s="45">
        <v>92.3076923076923</v>
      </c>
      <c r="BR284" s="44">
        <v>13</v>
      </c>
      <c r="BS284">
        <v>1</v>
      </c>
      <c r="BT284" s="112" t="str">
        <f>REPLACE(INDEX(GroupVertices[Group],MATCH("~"&amp;Edges[[#This Row],[Vertex 1]],GroupVertices[Vertex],0)),1,1,"")</f>
        <v>5</v>
      </c>
      <c r="BU284" s="112" t="str">
        <f>REPLACE(INDEX(GroupVertices[Group],MATCH("~"&amp;Edges[[#This Row],[Vertex 2]],GroupVertices[Vertex],0)),1,1,"")</f>
        <v>5</v>
      </c>
    </row>
    <row r="285" spans="1:73" ht="15">
      <c r="A285" s="59" t="s">
        <v>341</v>
      </c>
      <c r="B285" s="59" t="s">
        <v>341</v>
      </c>
      <c r="C285" s="60"/>
      <c r="D285" s="61"/>
      <c r="E285" s="62"/>
      <c r="F285" s="63"/>
      <c r="G285" s="60"/>
      <c r="H285" s="64"/>
      <c r="I285" s="65"/>
      <c r="J285" s="65"/>
      <c r="K285" s="30" t="s">
        <v>65</v>
      </c>
      <c r="L285" s="72">
        <v>285</v>
      </c>
      <c r="M2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5" s="67"/>
      <c r="O285" t="s">
        <v>177</v>
      </c>
      <c r="P285" s="73">
        <v>44558.26707175926</v>
      </c>
      <c r="Q285" t="s">
        <v>676</v>
      </c>
      <c r="R285">
        <v>860</v>
      </c>
      <c r="S285">
        <v>3508</v>
      </c>
      <c r="T285">
        <v>253</v>
      </c>
      <c r="U285">
        <v>77</v>
      </c>
      <c r="AA285" t="s">
        <v>781</v>
      </c>
      <c r="AB285" t="s">
        <v>783</v>
      </c>
      <c r="AC285" s="74" t="s">
        <v>787</v>
      </c>
      <c r="AD285" t="s">
        <v>794</v>
      </c>
      <c r="AE285" s="75" t="str">
        <f>HYPERLINK("https://twitter.com/fahiraidris/status/1475714275498860545")</f>
        <v>https://twitter.com/fahiraidris/status/1475714275498860545</v>
      </c>
      <c r="AF285" s="73">
        <v>44558.26707175926</v>
      </c>
      <c r="AG285" s="77">
        <v>44558</v>
      </c>
      <c r="AH285" s="74" t="s">
        <v>990</v>
      </c>
      <c r="AI285" t="b">
        <v>0</v>
      </c>
      <c r="AQ285" t="s">
        <v>1019</v>
      </c>
      <c r="AV285" s="75" t="str">
        <f>HYPERLINK("https://pbs.twimg.com/media/FHrKTyoVkAEIx8M.jpg")</f>
        <v>https://pbs.twimg.com/media/FHrKTyoVkAEIx8M.jpg</v>
      </c>
      <c r="AW285" s="74" t="s">
        <v>1221</v>
      </c>
      <c r="AX285" s="74" t="s">
        <v>1221</v>
      </c>
      <c r="AZ285" s="74" t="s">
        <v>1384</v>
      </c>
      <c r="BA285" s="74" t="s">
        <v>1384</v>
      </c>
      <c r="BB285" s="74" t="s">
        <v>1384</v>
      </c>
      <c r="BC285" s="74" t="s">
        <v>1221</v>
      </c>
      <c r="BD285">
        <v>68304724</v>
      </c>
      <c r="BJ285" s="44">
        <v>0</v>
      </c>
      <c r="BK285" s="45">
        <v>0</v>
      </c>
      <c r="BL285" s="44">
        <v>1</v>
      </c>
      <c r="BM285" s="45">
        <v>2.2222222222222223</v>
      </c>
      <c r="BN285" s="44">
        <v>0</v>
      </c>
      <c r="BO285" s="45">
        <v>0</v>
      </c>
      <c r="BP285" s="44">
        <v>43</v>
      </c>
      <c r="BQ285" s="45">
        <v>95.55555555555556</v>
      </c>
      <c r="BR285" s="44">
        <v>45</v>
      </c>
      <c r="BS285">
        <v>64</v>
      </c>
      <c r="BT285" s="112" t="str">
        <f>REPLACE(INDEX(GroupVertices[Group],MATCH("~"&amp;Edges[[#This Row],[Vertex 1]],GroupVertices[Vertex],0)),1,1,"")</f>
        <v>6</v>
      </c>
      <c r="BU285" s="112" t="str">
        <f>REPLACE(INDEX(GroupVertices[Group],MATCH("~"&amp;Edges[[#This Row],[Vertex 2]],GroupVertices[Vertex],0)),1,1,"")</f>
        <v>6</v>
      </c>
    </row>
    <row r="286" spans="1:73" ht="15">
      <c r="A286" s="59" t="s">
        <v>329</v>
      </c>
      <c r="B286" s="59" t="s">
        <v>341</v>
      </c>
      <c r="C286" s="60"/>
      <c r="D286" s="61"/>
      <c r="E286" s="62"/>
      <c r="F286" s="63"/>
      <c r="G286" s="60"/>
      <c r="H286" s="64"/>
      <c r="I286" s="65"/>
      <c r="J286" s="65"/>
      <c r="K286" s="30" t="s">
        <v>65</v>
      </c>
      <c r="L286" s="72">
        <v>286</v>
      </c>
      <c r="M2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6" s="67"/>
      <c r="O286" t="s">
        <v>484</v>
      </c>
      <c r="P286" s="73">
        <v>44609.680625</v>
      </c>
      <c r="Q286" t="s">
        <v>677</v>
      </c>
      <c r="R286">
        <v>0</v>
      </c>
      <c r="S286">
        <v>0</v>
      </c>
      <c r="T286">
        <v>0</v>
      </c>
      <c r="U286">
        <v>0</v>
      </c>
      <c r="AC286" s="74" t="s">
        <v>789</v>
      </c>
      <c r="AD286" t="s">
        <v>794</v>
      </c>
      <c r="AE286" s="75" t="str">
        <f>HYPERLINK("https://twitter.com/pmf_qu/status/1494345925312929793")</f>
        <v>https://twitter.com/pmf_qu/status/1494345925312929793</v>
      </c>
      <c r="AF286" s="73">
        <v>44609.680625</v>
      </c>
      <c r="AG286" s="77">
        <v>44609</v>
      </c>
      <c r="AH286" s="74" t="s">
        <v>991</v>
      </c>
      <c r="AV286" s="75" t="str">
        <f>HYPERLINK("https://abs.twimg.com/sticky/default_profile_images/default_profile_normal.png")</f>
        <v>https://abs.twimg.com/sticky/default_profile_images/default_profile_normal.png</v>
      </c>
      <c r="AW286" s="74" t="s">
        <v>1225</v>
      </c>
      <c r="AX286" s="74" t="s">
        <v>1225</v>
      </c>
      <c r="AZ286" s="74" t="s">
        <v>1384</v>
      </c>
      <c r="BA286" s="74" t="s">
        <v>1224</v>
      </c>
      <c r="BB286" s="74" t="s">
        <v>1384</v>
      </c>
      <c r="BC286" s="74" t="s">
        <v>1224</v>
      </c>
      <c r="BD286" s="74" t="s">
        <v>1474</v>
      </c>
      <c r="BJ286" s="44">
        <v>5</v>
      </c>
      <c r="BK286" s="45">
        <v>35.714285714285715</v>
      </c>
      <c r="BL286" s="44">
        <v>0</v>
      </c>
      <c r="BM286" s="45">
        <v>0</v>
      </c>
      <c r="BN286" s="44">
        <v>0</v>
      </c>
      <c r="BO286" s="45">
        <v>0</v>
      </c>
      <c r="BP286" s="44">
        <v>9</v>
      </c>
      <c r="BQ286" s="45">
        <v>64.28571428571429</v>
      </c>
      <c r="BR286" s="44">
        <v>14</v>
      </c>
      <c r="BS286">
        <v>1</v>
      </c>
      <c r="BT286" s="112" t="str">
        <f>REPLACE(INDEX(GroupVertices[Group],MATCH("~"&amp;Edges[[#This Row],[Vertex 1]],GroupVertices[Vertex],0)),1,1,"")</f>
        <v>5</v>
      </c>
      <c r="BU286" s="112" t="str">
        <f>REPLACE(INDEX(GroupVertices[Group],MATCH("~"&amp;Edges[[#This Row],[Vertex 2]],GroupVertices[Vertex],0)),1,1,"")</f>
        <v>6</v>
      </c>
    </row>
    <row r="287" spans="1:73" ht="15">
      <c r="A287" s="59" t="s">
        <v>342</v>
      </c>
      <c r="B287" s="59" t="s">
        <v>342</v>
      </c>
      <c r="C287" s="60"/>
      <c r="D287" s="61"/>
      <c r="E287" s="62"/>
      <c r="F287" s="63"/>
      <c r="G287" s="60"/>
      <c r="H287" s="64"/>
      <c r="I287" s="65"/>
      <c r="J287" s="65"/>
      <c r="K287" s="30" t="s">
        <v>65</v>
      </c>
      <c r="L287" s="72">
        <v>287</v>
      </c>
      <c r="M2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7" s="67"/>
      <c r="O287" t="s">
        <v>177</v>
      </c>
      <c r="P287" s="73">
        <v>44599.244525462964</v>
      </c>
      <c r="Q287" t="s">
        <v>678</v>
      </c>
      <c r="R287">
        <v>326</v>
      </c>
      <c r="S287">
        <v>1102</v>
      </c>
      <c r="T287">
        <v>8</v>
      </c>
      <c r="U287">
        <v>10</v>
      </c>
      <c r="AA287" t="s">
        <v>782</v>
      </c>
      <c r="AB287" t="s">
        <v>783</v>
      </c>
      <c r="AC287" s="74" t="s">
        <v>787</v>
      </c>
      <c r="AD287" t="s">
        <v>794</v>
      </c>
      <c r="AE287" s="75" t="str">
        <f>HYPERLINK("https://twitter.com/raka_shiwie/status/1490564008541569024")</f>
        <v>https://twitter.com/raka_shiwie/status/1490564008541569024</v>
      </c>
      <c r="AF287" s="73">
        <v>44599.244525462964</v>
      </c>
      <c r="AG287" s="77">
        <v>44599</v>
      </c>
      <c r="AH287" s="74" t="s">
        <v>992</v>
      </c>
      <c r="AI287" t="b">
        <v>0</v>
      </c>
      <c r="AQ287" t="s">
        <v>1020</v>
      </c>
      <c r="AV287" s="75" t="str">
        <f>HYPERLINK("https://pbs.twimg.com/media/FK-MEBeaAAEOjd2.jpg")</f>
        <v>https://pbs.twimg.com/media/FK-MEBeaAAEOjd2.jpg</v>
      </c>
      <c r="AW287" s="74" t="s">
        <v>1226</v>
      </c>
      <c r="AX287" s="74" t="s">
        <v>1226</v>
      </c>
      <c r="AZ287" s="74" t="s">
        <v>1384</v>
      </c>
      <c r="BA287" s="74" t="s">
        <v>1384</v>
      </c>
      <c r="BB287" s="74" t="s">
        <v>1384</v>
      </c>
      <c r="BC287" s="74" t="s">
        <v>1226</v>
      </c>
      <c r="BD287" s="74" t="s">
        <v>1477</v>
      </c>
      <c r="BJ287" s="44">
        <v>2</v>
      </c>
      <c r="BK287" s="45">
        <v>12.5</v>
      </c>
      <c r="BL287" s="44">
        <v>0</v>
      </c>
      <c r="BM287" s="45">
        <v>0</v>
      </c>
      <c r="BN287" s="44">
        <v>0</v>
      </c>
      <c r="BO287" s="45">
        <v>0</v>
      </c>
      <c r="BP287" s="44">
        <v>14</v>
      </c>
      <c r="BQ287" s="45">
        <v>87.5</v>
      </c>
      <c r="BR287" s="44">
        <v>16</v>
      </c>
      <c r="BS287">
        <v>1</v>
      </c>
      <c r="BT287" s="112" t="str">
        <f>REPLACE(INDEX(GroupVertices[Group],MATCH("~"&amp;Edges[[#This Row],[Vertex 1]],GroupVertices[Vertex],0)),1,1,"")</f>
        <v>5</v>
      </c>
      <c r="BU287" s="112" t="str">
        <f>REPLACE(INDEX(GroupVertices[Group],MATCH("~"&amp;Edges[[#This Row],[Vertex 2]],GroupVertices[Vertex],0)),1,1,"")</f>
        <v>5</v>
      </c>
    </row>
    <row r="288" spans="1:73" ht="15">
      <c r="A288" s="59" t="s">
        <v>329</v>
      </c>
      <c r="B288" s="59" t="s">
        <v>342</v>
      </c>
      <c r="C288" s="60"/>
      <c r="D288" s="61"/>
      <c r="E288" s="62"/>
      <c r="F288" s="63"/>
      <c r="G288" s="60"/>
      <c r="H288" s="64"/>
      <c r="I288" s="65"/>
      <c r="J288" s="65"/>
      <c r="K288" s="30" t="s">
        <v>65</v>
      </c>
      <c r="L288" s="72">
        <v>288</v>
      </c>
      <c r="M2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8" s="67"/>
      <c r="O288" t="s">
        <v>484</v>
      </c>
      <c r="P288" s="73">
        <v>44600.27460648148</v>
      </c>
      <c r="Q288" t="s">
        <v>679</v>
      </c>
      <c r="R288">
        <v>0</v>
      </c>
      <c r="S288">
        <v>1</v>
      </c>
      <c r="T288">
        <v>1</v>
      </c>
      <c r="U288">
        <v>0</v>
      </c>
      <c r="W288" s="74" t="s">
        <v>682</v>
      </c>
      <c r="AC288" s="74" t="s">
        <v>789</v>
      </c>
      <c r="AD288" t="s">
        <v>794</v>
      </c>
      <c r="AE288" s="75" t="str">
        <f>HYPERLINK("https://twitter.com/pmf_qu/status/1490937298279485443")</f>
        <v>https://twitter.com/pmf_qu/status/1490937298279485443</v>
      </c>
      <c r="AF288" s="73">
        <v>44600.27460648148</v>
      </c>
      <c r="AG288" s="77">
        <v>44600</v>
      </c>
      <c r="AH288" s="74" t="s">
        <v>993</v>
      </c>
      <c r="AV288" s="75" t="str">
        <f>HYPERLINK("https://abs.twimg.com/sticky/default_profile_images/default_profile_normal.png")</f>
        <v>https://abs.twimg.com/sticky/default_profile_images/default_profile_normal.png</v>
      </c>
      <c r="AW288" s="74" t="s">
        <v>1227</v>
      </c>
      <c r="AX288" s="74" t="s">
        <v>1227</v>
      </c>
      <c r="AZ288" s="74" t="s">
        <v>1384</v>
      </c>
      <c r="BA288" s="74" t="s">
        <v>1226</v>
      </c>
      <c r="BB288" s="74" t="s">
        <v>1384</v>
      </c>
      <c r="BC288" s="74" t="s">
        <v>1226</v>
      </c>
      <c r="BD288" s="74" t="s">
        <v>1474</v>
      </c>
      <c r="BJ288" s="44">
        <v>1</v>
      </c>
      <c r="BK288" s="45">
        <v>5.2631578947368425</v>
      </c>
      <c r="BL288" s="44">
        <v>1</v>
      </c>
      <c r="BM288" s="45">
        <v>5.2631578947368425</v>
      </c>
      <c r="BN288" s="44">
        <v>0</v>
      </c>
      <c r="BO288" s="45">
        <v>0</v>
      </c>
      <c r="BP288" s="44">
        <v>17</v>
      </c>
      <c r="BQ288" s="45">
        <v>89.47368421052632</v>
      </c>
      <c r="BR288" s="44">
        <v>19</v>
      </c>
      <c r="BS288">
        <v>1</v>
      </c>
      <c r="BT288" s="112" t="str">
        <f>REPLACE(INDEX(GroupVertices[Group],MATCH("~"&amp;Edges[[#This Row],[Vertex 1]],GroupVertices[Vertex],0)),1,1,"")</f>
        <v>5</v>
      </c>
      <c r="BU288" s="112" t="str">
        <f>REPLACE(INDEX(GroupVertices[Group],MATCH("~"&amp;Edges[[#This Row],[Vertex 2]],GroupVertices[Vertex],0)),1,1,"")</f>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6FC8C-6B54-447A-BDE1-B491BD7E5F07}">
  <dimension ref="A1:G850"/>
  <sheetViews>
    <sheetView workbookViewId="0" topLeftCell="A3">
      <selection activeCell="A10" sqref="A10:A444"/>
    </sheetView>
  </sheetViews>
  <sheetFormatPr defaultColWidth="9.140625" defaultRowHeight="15"/>
  <cols>
    <col min="1" max="1" width="28.7109375" style="0" bestFit="1" customWidth="1"/>
    <col min="2" max="2" width="23.28125" style="0" bestFit="1" customWidth="1"/>
    <col min="3" max="3" width="10.7109375" style="0" bestFit="1" customWidth="1"/>
    <col min="4" max="6" width="32.140625" style="0" bestFit="1" customWidth="1"/>
    <col min="7" max="7" width="8.7109375" style="0" bestFit="1" customWidth="1"/>
  </cols>
  <sheetData>
    <row r="1" spans="1:7" ht="15" customHeight="1">
      <c r="A1" s="7" t="s">
        <v>2627</v>
      </c>
      <c r="B1" s="7" t="s">
        <v>3029</v>
      </c>
      <c r="C1" s="7" t="s">
        <v>3033</v>
      </c>
      <c r="D1" s="7" t="s">
        <v>3034</v>
      </c>
      <c r="E1" s="7" t="s">
        <v>3035</v>
      </c>
      <c r="F1" s="7" t="s">
        <v>3036</v>
      </c>
      <c r="G1" s="7" t="s">
        <v>143</v>
      </c>
    </row>
    <row r="2" spans="1:7" ht="15">
      <c r="A2" s="112" t="s">
        <v>2628</v>
      </c>
      <c r="B2" s="112" t="s">
        <v>3030</v>
      </c>
      <c r="C2" s="115"/>
      <c r="D2" s="112"/>
      <c r="E2" s="112"/>
      <c r="F2" s="112"/>
      <c r="G2" s="112"/>
    </row>
    <row r="3" spans="1:7" ht="15">
      <c r="A3" s="113" t="s">
        <v>2629</v>
      </c>
      <c r="B3" s="112" t="s">
        <v>3031</v>
      </c>
      <c r="C3" s="115"/>
      <c r="D3" s="112"/>
      <c r="E3" s="112"/>
      <c r="F3" s="112"/>
      <c r="G3" s="112"/>
    </row>
    <row r="4" spans="1:7" ht="15">
      <c r="A4" s="113" t="s">
        <v>2630</v>
      </c>
      <c r="B4" s="112" t="s">
        <v>3032</v>
      </c>
      <c r="C4" s="115"/>
      <c r="D4" s="112"/>
      <c r="E4" s="112"/>
      <c r="F4" s="112"/>
      <c r="G4" s="112"/>
    </row>
    <row r="5" spans="1:7" ht="15">
      <c r="A5" s="113" t="s">
        <v>2631</v>
      </c>
      <c r="B5" s="112">
        <v>583</v>
      </c>
      <c r="C5" s="115">
        <v>0.183218101822753</v>
      </c>
      <c r="D5" s="112"/>
      <c r="E5" s="112"/>
      <c r="F5" s="112"/>
      <c r="G5" s="112"/>
    </row>
    <row r="6" spans="1:7" ht="15">
      <c r="A6" s="113" t="s">
        <v>2632</v>
      </c>
      <c r="B6" s="112">
        <v>83</v>
      </c>
      <c r="C6" s="115">
        <v>0.02608422375864236</v>
      </c>
      <c r="D6" s="112"/>
      <c r="E6" s="112"/>
      <c r="F6" s="112"/>
      <c r="G6" s="112"/>
    </row>
    <row r="7" spans="1:7" ht="15">
      <c r="A7" s="113" t="s">
        <v>2633</v>
      </c>
      <c r="B7" s="112">
        <v>0</v>
      </c>
      <c r="C7" s="115">
        <v>0</v>
      </c>
      <c r="D7" s="112"/>
      <c r="E7" s="112"/>
      <c r="F7" s="112"/>
      <c r="G7" s="112"/>
    </row>
    <row r="8" spans="1:7" ht="15">
      <c r="A8" s="113" t="s">
        <v>2634</v>
      </c>
      <c r="B8" s="112">
        <v>2510</v>
      </c>
      <c r="C8" s="115">
        <v>0.7888120678818353</v>
      </c>
      <c r="D8" s="112"/>
      <c r="E8" s="112"/>
      <c r="F8" s="112"/>
      <c r="G8" s="112"/>
    </row>
    <row r="9" spans="1:7" ht="15">
      <c r="A9" s="113" t="s">
        <v>2635</v>
      </c>
      <c r="B9" s="112">
        <v>3182</v>
      </c>
      <c r="C9" s="115">
        <v>1</v>
      </c>
      <c r="D9" s="112"/>
      <c r="E9" s="112"/>
      <c r="F9" s="112"/>
      <c r="G9" s="112"/>
    </row>
    <row r="10" spans="1:7" ht="15">
      <c r="A10" s="114" t="s">
        <v>2373</v>
      </c>
      <c r="B10" s="112">
        <v>135</v>
      </c>
      <c r="C10" s="115">
        <v>0.008061917173510373</v>
      </c>
      <c r="D10" s="112" t="b">
        <v>1</v>
      </c>
      <c r="E10" s="112" t="b">
        <v>0</v>
      </c>
      <c r="F10" s="112" t="b">
        <v>0</v>
      </c>
      <c r="G10" s="112" t="s">
        <v>3521</v>
      </c>
    </row>
    <row r="11" spans="1:7" ht="15">
      <c r="A11" s="114" t="s">
        <v>2374</v>
      </c>
      <c r="B11" s="112">
        <v>129</v>
      </c>
      <c r="C11" s="115">
        <v>0.007703609743576578</v>
      </c>
      <c r="D11" s="112" t="b">
        <v>1</v>
      </c>
      <c r="E11" s="112" t="b">
        <v>0</v>
      </c>
      <c r="F11" s="112" t="b">
        <v>0</v>
      </c>
      <c r="G11" s="112" t="s">
        <v>3521</v>
      </c>
    </row>
    <row r="12" spans="1:7" ht="15">
      <c r="A12" s="114" t="s">
        <v>681</v>
      </c>
      <c r="B12" s="112">
        <v>126</v>
      </c>
      <c r="C12" s="115">
        <v>0.008509270748179594</v>
      </c>
      <c r="D12" s="112" t="b">
        <v>1</v>
      </c>
      <c r="E12" s="112" t="b">
        <v>0</v>
      </c>
      <c r="F12" s="112" t="b">
        <v>0</v>
      </c>
      <c r="G12" s="112" t="s">
        <v>3521</v>
      </c>
    </row>
    <row r="13" spans="1:7" ht="15">
      <c r="A13" s="114" t="s">
        <v>2376</v>
      </c>
      <c r="B13" s="112">
        <v>54</v>
      </c>
      <c r="C13" s="115">
        <v>0.011163278467342035</v>
      </c>
      <c r="D13" s="112" t="b">
        <v>0</v>
      </c>
      <c r="E13" s="112" t="b">
        <v>0</v>
      </c>
      <c r="F13" s="112" t="b">
        <v>0</v>
      </c>
      <c r="G13" s="112" t="s">
        <v>3521</v>
      </c>
    </row>
    <row r="14" spans="1:7" ht="15">
      <c r="A14" s="114" t="s">
        <v>2375</v>
      </c>
      <c r="B14" s="112">
        <v>52</v>
      </c>
      <c r="C14" s="115">
        <v>0.00982103388834012</v>
      </c>
      <c r="D14" s="112" t="b">
        <v>1</v>
      </c>
      <c r="E14" s="112" t="b">
        <v>0</v>
      </c>
      <c r="F14" s="112" t="b">
        <v>0</v>
      </c>
      <c r="G14" s="112" t="s">
        <v>3521</v>
      </c>
    </row>
    <row r="15" spans="1:7" ht="15">
      <c r="A15" s="114" t="s">
        <v>2377</v>
      </c>
      <c r="B15" s="112">
        <v>45</v>
      </c>
      <c r="C15" s="115">
        <v>0.010569425540160864</v>
      </c>
      <c r="D15" s="112" t="b">
        <v>0</v>
      </c>
      <c r="E15" s="112" t="b">
        <v>0</v>
      </c>
      <c r="F15" s="112" t="b">
        <v>0</v>
      </c>
      <c r="G15" s="112" t="s">
        <v>3521</v>
      </c>
    </row>
    <row r="16" spans="1:7" ht="15">
      <c r="A16" s="114" t="s">
        <v>2379</v>
      </c>
      <c r="B16" s="112">
        <v>26</v>
      </c>
      <c r="C16" s="115">
        <v>0.007448176199913007</v>
      </c>
      <c r="D16" s="112" t="b">
        <v>0</v>
      </c>
      <c r="E16" s="112" t="b">
        <v>0</v>
      </c>
      <c r="F16" s="112" t="b">
        <v>0</v>
      </c>
      <c r="G16" s="112" t="s">
        <v>3521</v>
      </c>
    </row>
    <row r="17" spans="1:7" ht="15">
      <c r="A17" s="114" t="s">
        <v>2380</v>
      </c>
      <c r="B17" s="112">
        <v>24</v>
      </c>
      <c r="C17" s="115">
        <v>0.0073134658687299655</v>
      </c>
      <c r="D17" s="112" t="b">
        <v>0</v>
      </c>
      <c r="E17" s="112" t="b">
        <v>0</v>
      </c>
      <c r="F17" s="112" t="b">
        <v>0</v>
      </c>
      <c r="G17" s="112" t="s">
        <v>3521</v>
      </c>
    </row>
    <row r="18" spans="1:7" ht="15">
      <c r="A18" s="114" t="s">
        <v>2378</v>
      </c>
      <c r="B18" s="112">
        <v>23</v>
      </c>
      <c r="C18" s="115">
        <v>0.007162187078421394</v>
      </c>
      <c r="D18" s="112" t="b">
        <v>0</v>
      </c>
      <c r="E18" s="112" t="b">
        <v>0</v>
      </c>
      <c r="F18" s="112" t="b">
        <v>0</v>
      </c>
      <c r="G18" s="112" t="s">
        <v>3521</v>
      </c>
    </row>
    <row r="19" spans="1:7" ht="15">
      <c r="A19" s="114" t="s">
        <v>2381</v>
      </c>
      <c r="B19" s="112">
        <v>19</v>
      </c>
      <c r="C19" s="115">
        <v>0.0060498549111410865</v>
      </c>
      <c r="D19" s="112" t="b">
        <v>0</v>
      </c>
      <c r="E19" s="112" t="b">
        <v>0</v>
      </c>
      <c r="F19" s="112" t="b">
        <v>0</v>
      </c>
      <c r="G19" s="112" t="s">
        <v>3521</v>
      </c>
    </row>
    <row r="20" spans="1:7" ht="15">
      <c r="A20" s="114" t="s">
        <v>2638</v>
      </c>
      <c r="B20" s="112">
        <v>19</v>
      </c>
      <c r="C20" s="115">
        <v>0.006664018795286492</v>
      </c>
      <c r="D20" s="112" t="b">
        <v>0</v>
      </c>
      <c r="E20" s="112" t="b">
        <v>0</v>
      </c>
      <c r="F20" s="112" t="b">
        <v>0</v>
      </c>
      <c r="G20" s="112" t="s">
        <v>3521</v>
      </c>
    </row>
    <row r="21" spans="1:7" ht="15">
      <c r="A21" s="114" t="s">
        <v>2636</v>
      </c>
      <c r="B21" s="112">
        <v>19</v>
      </c>
      <c r="C21" s="115">
        <v>0.006843269816751044</v>
      </c>
      <c r="D21" s="112" t="b">
        <v>0</v>
      </c>
      <c r="E21" s="112" t="b">
        <v>0</v>
      </c>
      <c r="F21" s="112" t="b">
        <v>0</v>
      </c>
      <c r="G21" s="112" t="s">
        <v>3521</v>
      </c>
    </row>
    <row r="22" spans="1:7" ht="15">
      <c r="A22" s="114" t="s">
        <v>2639</v>
      </c>
      <c r="B22" s="112">
        <v>18</v>
      </c>
      <c r="C22" s="115">
        <v>0.006005208570439671</v>
      </c>
      <c r="D22" s="112" t="b">
        <v>0</v>
      </c>
      <c r="E22" s="112" t="b">
        <v>0</v>
      </c>
      <c r="F22" s="112" t="b">
        <v>0</v>
      </c>
      <c r="G22" s="112" t="s">
        <v>3521</v>
      </c>
    </row>
    <row r="23" spans="1:7" ht="15">
      <c r="A23" s="114" t="s">
        <v>2641</v>
      </c>
      <c r="B23" s="112">
        <v>16</v>
      </c>
      <c r="C23" s="115">
        <v>0.0056118053012938875</v>
      </c>
      <c r="D23" s="112" t="b">
        <v>0</v>
      </c>
      <c r="E23" s="112" t="b">
        <v>0</v>
      </c>
      <c r="F23" s="112" t="b">
        <v>0</v>
      </c>
      <c r="G23" s="112" t="s">
        <v>3521</v>
      </c>
    </row>
    <row r="24" spans="1:7" ht="15">
      <c r="A24" s="114" t="s">
        <v>2645</v>
      </c>
      <c r="B24" s="112">
        <v>16</v>
      </c>
      <c r="C24" s="115">
        <v>0.0054706026635092855</v>
      </c>
      <c r="D24" s="112" t="b">
        <v>0</v>
      </c>
      <c r="E24" s="112" t="b">
        <v>0</v>
      </c>
      <c r="F24" s="112" t="b">
        <v>0</v>
      </c>
      <c r="G24" s="112" t="s">
        <v>3521</v>
      </c>
    </row>
    <row r="25" spans="1:7" ht="15">
      <c r="A25" s="114" t="s">
        <v>2637</v>
      </c>
      <c r="B25" s="112">
        <v>14</v>
      </c>
      <c r="C25" s="115">
        <v>0.005042409338658665</v>
      </c>
      <c r="D25" s="112" t="b">
        <v>0</v>
      </c>
      <c r="E25" s="112" t="b">
        <v>0</v>
      </c>
      <c r="F25" s="112" t="b">
        <v>0</v>
      </c>
      <c r="G25" s="112" t="s">
        <v>3521</v>
      </c>
    </row>
    <row r="26" spans="1:7" ht="15">
      <c r="A26" s="114" t="s">
        <v>2644</v>
      </c>
      <c r="B26" s="112">
        <v>14</v>
      </c>
      <c r="C26" s="115">
        <v>0.0053375148345114936</v>
      </c>
      <c r="D26" s="112" t="b">
        <v>0</v>
      </c>
      <c r="E26" s="112" t="b">
        <v>0</v>
      </c>
      <c r="F26" s="112" t="b">
        <v>0</v>
      </c>
      <c r="G26" s="112" t="s">
        <v>3521</v>
      </c>
    </row>
    <row r="27" spans="1:7" ht="15">
      <c r="A27" s="114" t="s">
        <v>2642</v>
      </c>
      <c r="B27" s="112">
        <v>13</v>
      </c>
      <c r="C27" s="115">
        <v>0.005110939874261904</v>
      </c>
      <c r="D27" s="112" t="b">
        <v>0</v>
      </c>
      <c r="E27" s="112" t="b">
        <v>0</v>
      </c>
      <c r="F27" s="112" t="b">
        <v>0</v>
      </c>
      <c r="G27" s="112" t="s">
        <v>3521</v>
      </c>
    </row>
    <row r="28" spans="1:7" ht="15">
      <c r="A28" s="114" t="s">
        <v>2646</v>
      </c>
      <c r="B28" s="112">
        <v>12</v>
      </c>
      <c r="C28" s="115">
        <v>0.004575012715295566</v>
      </c>
      <c r="D28" s="112" t="b">
        <v>0</v>
      </c>
      <c r="E28" s="112" t="b">
        <v>0</v>
      </c>
      <c r="F28" s="112" t="b">
        <v>0</v>
      </c>
      <c r="G28" s="112" t="s">
        <v>3521</v>
      </c>
    </row>
    <row r="29" spans="1:7" ht="15">
      <c r="A29" s="114" t="s">
        <v>2649</v>
      </c>
      <c r="B29" s="112">
        <v>12</v>
      </c>
      <c r="C29" s="115">
        <v>0.004874186189027146</v>
      </c>
      <c r="D29" s="112" t="b">
        <v>1</v>
      </c>
      <c r="E29" s="112" t="b">
        <v>0</v>
      </c>
      <c r="F29" s="112" t="b">
        <v>0</v>
      </c>
      <c r="G29" s="112" t="s">
        <v>3521</v>
      </c>
    </row>
    <row r="30" spans="1:7" ht="15">
      <c r="A30" s="114" t="s">
        <v>2648</v>
      </c>
      <c r="B30" s="112">
        <v>12</v>
      </c>
      <c r="C30" s="115">
        <v>0.004717790653164834</v>
      </c>
      <c r="D30" s="112" t="b">
        <v>0</v>
      </c>
      <c r="E30" s="112" t="b">
        <v>0</v>
      </c>
      <c r="F30" s="112" t="b">
        <v>0</v>
      </c>
      <c r="G30" s="112" t="s">
        <v>3521</v>
      </c>
    </row>
    <row r="31" spans="1:7" ht="15">
      <c r="A31" s="114" t="s">
        <v>2643</v>
      </c>
      <c r="B31" s="112">
        <v>12</v>
      </c>
      <c r="C31" s="115">
        <v>0.004575012715295566</v>
      </c>
      <c r="D31" s="112" t="b">
        <v>0</v>
      </c>
      <c r="E31" s="112" t="b">
        <v>0</v>
      </c>
      <c r="F31" s="112" t="b">
        <v>0</v>
      </c>
      <c r="G31" s="112" t="s">
        <v>3521</v>
      </c>
    </row>
    <row r="32" spans="1:7" ht="15">
      <c r="A32" s="114" t="s">
        <v>318</v>
      </c>
      <c r="B32" s="112">
        <v>11</v>
      </c>
      <c r="C32" s="115">
        <v>0.004324641432067765</v>
      </c>
      <c r="D32" s="112" t="b">
        <v>0</v>
      </c>
      <c r="E32" s="112" t="b">
        <v>0</v>
      </c>
      <c r="F32" s="112" t="b">
        <v>0</v>
      </c>
      <c r="G32" s="112" t="s">
        <v>3521</v>
      </c>
    </row>
    <row r="33" spans="1:7" ht="15">
      <c r="A33" s="114" t="s">
        <v>2650</v>
      </c>
      <c r="B33" s="112">
        <v>11</v>
      </c>
      <c r="C33" s="115">
        <v>0.004468004006608218</v>
      </c>
      <c r="D33" s="112" t="b">
        <v>0</v>
      </c>
      <c r="E33" s="112" t="b">
        <v>0</v>
      </c>
      <c r="F33" s="112" t="b">
        <v>0</v>
      </c>
      <c r="G33" s="112" t="s">
        <v>3521</v>
      </c>
    </row>
    <row r="34" spans="1:7" ht="15">
      <c r="A34" s="114" t="s">
        <v>2640</v>
      </c>
      <c r="B34" s="112">
        <v>11</v>
      </c>
      <c r="C34" s="115">
        <v>0.004626483980212571</v>
      </c>
      <c r="D34" s="112" t="b">
        <v>0</v>
      </c>
      <c r="E34" s="112" t="b">
        <v>0</v>
      </c>
      <c r="F34" s="112" t="b">
        <v>0</v>
      </c>
      <c r="G34" s="112" t="s">
        <v>3521</v>
      </c>
    </row>
    <row r="35" spans="1:7" ht="15">
      <c r="A35" s="114" t="s">
        <v>2652</v>
      </c>
      <c r="B35" s="112">
        <v>11</v>
      </c>
      <c r="C35" s="115">
        <v>0.004324641432067765</v>
      </c>
      <c r="D35" s="112" t="b">
        <v>0</v>
      </c>
      <c r="E35" s="112" t="b">
        <v>0</v>
      </c>
      <c r="F35" s="112" t="b">
        <v>0</v>
      </c>
      <c r="G35" s="112" t="s">
        <v>3521</v>
      </c>
    </row>
    <row r="36" spans="1:7" ht="15">
      <c r="A36" s="114" t="s">
        <v>2655</v>
      </c>
      <c r="B36" s="112">
        <v>11</v>
      </c>
      <c r="C36" s="115">
        <v>0.004803649517656272</v>
      </c>
      <c r="D36" s="112" t="b">
        <v>0</v>
      </c>
      <c r="E36" s="112" t="b">
        <v>0</v>
      </c>
      <c r="F36" s="112" t="b">
        <v>0</v>
      </c>
      <c r="G36" s="112" t="s">
        <v>3521</v>
      </c>
    </row>
    <row r="37" spans="1:7" ht="15">
      <c r="A37" s="114" t="s">
        <v>2654</v>
      </c>
      <c r="B37" s="112">
        <v>10</v>
      </c>
      <c r="C37" s="115">
        <v>0.004549548398451704</v>
      </c>
      <c r="D37" s="112" t="b">
        <v>0</v>
      </c>
      <c r="E37" s="112" t="b">
        <v>0</v>
      </c>
      <c r="F37" s="112" t="b">
        <v>0</v>
      </c>
      <c r="G37" s="112" t="s">
        <v>3521</v>
      </c>
    </row>
    <row r="38" spans="1:7" ht="15">
      <c r="A38" s="114" t="s">
        <v>2658</v>
      </c>
      <c r="B38" s="112">
        <v>10</v>
      </c>
      <c r="C38" s="115">
        <v>0.004205894527465974</v>
      </c>
      <c r="D38" s="112" t="b">
        <v>0</v>
      </c>
      <c r="E38" s="112" t="b">
        <v>0</v>
      </c>
      <c r="F38" s="112" t="b">
        <v>0</v>
      </c>
      <c r="G38" s="112" t="s">
        <v>3521</v>
      </c>
    </row>
    <row r="39" spans="1:7" ht="15">
      <c r="A39" s="114" t="s">
        <v>2657</v>
      </c>
      <c r="B39" s="112">
        <v>10</v>
      </c>
      <c r="C39" s="115">
        <v>0.004061821824189289</v>
      </c>
      <c r="D39" s="112" t="b">
        <v>0</v>
      </c>
      <c r="E39" s="112" t="b">
        <v>0</v>
      </c>
      <c r="F39" s="112" t="b">
        <v>0</v>
      </c>
      <c r="G39" s="112" t="s">
        <v>3521</v>
      </c>
    </row>
    <row r="40" spans="1:7" ht="15">
      <c r="A40" s="114" t="s">
        <v>2651</v>
      </c>
      <c r="B40" s="112">
        <v>10</v>
      </c>
      <c r="C40" s="115">
        <v>0.004061821824189289</v>
      </c>
      <c r="D40" s="112" t="b">
        <v>0</v>
      </c>
      <c r="E40" s="112" t="b">
        <v>0</v>
      </c>
      <c r="F40" s="112" t="b">
        <v>0</v>
      </c>
      <c r="G40" s="112" t="s">
        <v>3521</v>
      </c>
    </row>
    <row r="41" spans="1:7" ht="15">
      <c r="A41" s="114" t="s">
        <v>2660</v>
      </c>
      <c r="B41" s="112">
        <v>10</v>
      </c>
      <c r="C41" s="115">
        <v>0.004205894527465974</v>
      </c>
      <c r="D41" s="112" t="b">
        <v>0</v>
      </c>
      <c r="E41" s="112" t="b">
        <v>0</v>
      </c>
      <c r="F41" s="112" t="b">
        <v>0</v>
      </c>
      <c r="G41" s="112" t="s">
        <v>3521</v>
      </c>
    </row>
    <row r="42" spans="1:7" ht="15">
      <c r="A42" s="114" t="s">
        <v>2653</v>
      </c>
      <c r="B42" s="112">
        <v>9</v>
      </c>
      <c r="C42" s="115">
        <v>0.0037853050747193757</v>
      </c>
      <c r="D42" s="112" t="b">
        <v>0</v>
      </c>
      <c r="E42" s="112" t="b">
        <v>0</v>
      </c>
      <c r="F42" s="112" t="b">
        <v>0</v>
      </c>
      <c r="G42" s="112" t="s">
        <v>3521</v>
      </c>
    </row>
    <row r="43" spans="1:7" ht="15">
      <c r="A43" s="114" t="s">
        <v>2671</v>
      </c>
      <c r="B43" s="112">
        <v>9</v>
      </c>
      <c r="C43" s="115">
        <v>0.0037853050747193757</v>
      </c>
      <c r="D43" s="112" t="b">
        <v>1</v>
      </c>
      <c r="E43" s="112" t="b">
        <v>0</v>
      </c>
      <c r="F43" s="112" t="b">
        <v>0</v>
      </c>
      <c r="G43" s="112" t="s">
        <v>3521</v>
      </c>
    </row>
    <row r="44" spans="1:7" ht="15">
      <c r="A44" s="114" t="s">
        <v>2663</v>
      </c>
      <c r="B44" s="112">
        <v>9</v>
      </c>
      <c r="C44" s="115">
        <v>0.003930258696264222</v>
      </c>
      <c r="D44" s="112" t="b">
        <v>0</v>
      </c>
      <c r="E44" s="112" t="b">
        <v>1</v>
      </c>
      <c r="F44" s="112" t="b">
        <v>0</v>
      </c>
      <c r="G44" s="112" t="s">
        <v>3521</v>
      </c>
    </row>
    <row r="45" spans="1:7" ht="15">
      <c r="A45" s="114" t="s">
        <v>2672</v>
      </c>
      <c r="B45" s="112">
        <v>9</v>
      </c>
      <c r="C45" s="115">
        <v>0.003930258696264222</v>
      </c>
      <c r="D45" s="112" t="b">
        <v>0</v>
      </c>
      <c r="E45" s="112" t="b">
        <v>0</v>
      </c>
      <c r="F45" s="112" t="b">
        <v>0</v>
      </c>
      <c r="G45" s="112" t="s">
        <v>3521</v>
      </c>
    </row>
    <row r="46" spans="1:7" ht="15">
      <c r="A46" s="114" t="s">
        <v>2659</v>
      </c>
      <c r="B46" s="112">
        <v>9</v>
      </c>
      <c r="C46" s="115">
        <v>0.0037853050747193757</v>
      </c>
      <c r="D46" s="112" t="b">
        <v>0</v>
      </c>
      <c r="E46" s="112" t="b">
        <v>0</v>
      </c>
      <c r="F46" s="112" t="b">
        <v>0</v>
      </c>
      <c r="G46" s="112" t="s">
        <v>3521</v>
      </c>
    </row>
    <row r="47" spans="1:7" ht="15">
      <c r="A47" s="114" t="s">
        <v>341</v>
      </c>
      <c r="B47" s="112">
        <v>8</v>
      </c>
      <c r="C47" s="115">
        <v>0.003493563285568198</v>
      </c>
      <c r="D47" s="112" t="b">
        <v>0</v>
      </c>
      <c r="E47" s="112" t="b">
        <v>0</v>
      </c>
      <c r="F47" s="112" t="b">
        <v>0</v>
      </c>
      <c r="G47" s="112" t="s">
        <v>3521</v>
      </c>
    </row>
    <row r="48" spans="1:7" ht="15">
      <c r="A48" s="114" t="s">
        <v>2673</v>
      </c>
      <c r="B48" s="112">
        <v>8</v>
      </c>
      <c r="C48" s="115">
        <v>0.003639638718761363</v>
      </c>
      <c r="D48" s="112" t="b">
        <v>0</v>
      </c>
      <c r="E48" s="112" t="b">
        <v>0</v>
      </c>
      <c r="F48" s="112" t="b">
        <v>0</v>
      </c>
      <c r="G48" s="112" t="s">
        <v>3521</v>
      </c>
    </row>
    <row r="49" spans="1:7" ht="15">
      <c r="A49" s="114" t="s">
        <v>2656</v>
      </c>
      <c r="B49" s="112">
        <v>8</v>
      </c>
      <c r="C49" s="115">
        <v>0.004007719413164985</v>
      </c>
      <c r="D49" s="112" t="b">
        <v>0</v>
      </c>
      <c r="E49" s="112" t="b">
        <v>0</v>
      </c>
      <c r="F49" s="112" t="b">
        <v>0</v>
      </c>
      <c r="G49" s="112" t="s">
        <v>3521</v>
      </c>
    </row>
    <row r="50" spans="1:7" ht="15">
      <c r="A50" s="114" t="s">
        <v>2668</v>
      </c>
      <c r="B50" s="112">
        <v>8</v>
      </c>
      <c r="C50" s="115">
        <v>0.003493563285568198</v>
      </c>
      <c r="D50" s="112" t="b">
        <v>1</v>
      </c>
      <c r="E50" s="112" t="b">
        <v>0</v>
      </c>
      <c r="F50" s="112" t="b">
        <v>0</v>
      </c>
      <c r="G50" s="112" t="s">
        <v>3521</v>
      </c>
    </row>
    <row r="51" spans="1:7" ht="15">
      <c r="A51" s="114" t="s">
        <v>2647</v>
      </c>
      <c r="B51" s="112">
        <v>8</v>
      </c>
      <c r="C51" s="115">
        <v>0.003493563285568198</v>
      </c>
      <c r="D51" s="112" t="b">
        <v>0</v>
      </c>
      <c r="E51" s="112" t="b">
        <v>0</v>
      </c>
      <c r="F51" s="112" t="b">
        <v>0</v>
      </c>
      <c r="G51" s="112" t="s">
        <v>3521</v>
      </c>
    </row>
    <row r="52" spans="1:7" ht="15">
      <c r="A52" s="114" t="s">
        <v>2669</v>
      </c>
      <c r="B52" s="112">
        <v>8</v>
      </c>
      <c r="C52" s="115">
        <v>0.003493563285568198</v>
      </c>
      <c r="D52" s="112" t="b">
        <v>0</v>
      </c>
      <c r="E52" s="112" t="b">
        <v>0</v>
      </c>
      <c r="F52" s="112" t="b">
        <v>0</v>
      </c>
      <c r="G52" s="112" t="s">
        <v>3521</v>
      </c>
    </row>
    <row r="53" spans="1:7" ht="15">
      <c r="A53" s="114" t="s">
        <v>2670</v>
      </c>
      <c r="B53" s="112">
        <v>7</v>
      </c>
      <c r="C53" s="115">
        <v>0.0031846838789161926</v>
      </c>
      <c r="D53" s="112" t="b">
        <v>0</v>
      </c>
      <c r="E53" s="112" t="b">
        <v>0</v>
      </c>
      <c r="F53" s="112" t="b">
        <v>0</v>
      </c>
      <c r="G53" s="112" t="s">
        <v>3521</v>
      </c>
    </row>
    <row r="54" spans="1:7" ht="15">
      <c r="A54" s="114" t="s">
        <v>2689</v>
      </c>
      <c r="B54" s="112">
        <v>7</v>
      </c>
      <c r="C54" s="115">
        <v>0.0033322366268426075</v>
      </c>
      <c r="D54" s="112" t="b">
        <v>0</v>
      </c>
      <c r="E54" s="112" t="b">
        <v>1</v>
      </c>
      <c r="F54" s="112" t="b">
        <v>0</v>
      </c>
      <c r="G54" s="112" t="s">
        <v>3521</v>
      </c>
    </row>
    <row r="55" spans="1:7" ht="15">
      <c r="A55" s="114" t="s">
        <v>2667</v>
      </c>
      <c r="B55" s="112">
        <v>7</v>
      </c>
      <c r="C55" s="115">
        <v>0.0033322366268426075</v>
      </c>
      <c r="D55" s="112" t="b">
        <v>0</v>
      </c>
      <c r="E55" s="112" t="b">
        <v>0</v>
      </c>
      <c r="F55" s="112" t="b">
        <v>0</v>
      </c>
      <c r="G55" s="112" t="s">
        <v>3521</v>
      </c>
    </row>
    <row r="56" spans="1:7" ht="15">
      <c r="A56" s="114" t="s">
        <v>2686</v>
      </c>
      <c r="B56" s="112">
        <v>7</v>
      </c>
      <c r="C56" s="115">
        <v>0.0033322366268426075</v>
      </c>
      <c r="D56" s="112" t="b">
        <v>0</v>
      </c>
      <c r="E56" s="112" t="b">
        <v>0</v>
      </c>
      <c r="F56" s="112" t="b">
        <v>0</v>
      </c>
      <c r="G56" s="112" t="s">
        <v>3521</v>
      </c>
    </row>
    <row r="57" spans="1:7" ht="15">
      <c r="A57" s="114" t="s">
        <v>2664</v>
      </c>
      <c r="B57" s="112">
        <v>7</v>
      </c>
      <c r="C57" s="115">
        <v>0.0033322366268426075</v>
      </c>
      <c r="D57" s="112" t="b">
        <v>0</v>
      </c>
      <c r="E57" s="112" t="b">
        <v>0</v>
      </c>
      <c r="F57" s="112" t="b">
        <v>0</v>
      </c>
      <c r="G57" s="112" t="s">
        <v>3521</v>
      </c>
    </row>
    <row r="58" spans="1:7" ht="15">
      <c r="A58" s="114" t="s">
        <v>2665</v>
      </c>
      <c r="B58" s="112">
        <v>7</v>
      </c>
      <c r="C58" s="115">
        <v>0.0033322366268426075</v>
      </c>
      <c r="D58" s="112" t="b">
        <v>0</v>
      </c>
      <c r="E58" s="112" t="b">
        <v>0</v>
      </c>
      <c r="F58" s="112" t="b">
        <v>0</v>
      </c>
      <c r="G58" s="112" t="s">
        <v>3521</v>
      </c>
    </row>
    <row r="59" spans="1:7" ht="15">
      <c r="A59" s="114" t="s">
        <v>2666</v>
      </c>
      <c r="B59" s="112">
        <v>7</v>
      </c>
      <c r="C59" s="115">
        <v>0.0031846838789161926</v>
      </c>
      <c r="D59" s="112" t="b">
        <v>0</v>
      </c>
      <c r="E59" s="112" t="b">
        <v>0</v>
      </c>
      <c r="F59" s="112" t="b">
        <v>0</v>
      </c>
      <c r="G59" s="112" t="s">
        <v>3521</v>
      </c>
    </row>
    <row r="60" spans="1:7" ht="15">
      <c r="A60" s="114" t="s">
        <v>2680</v>
      </c>
      <c r="B60" s="112">
        <v>7</v>
      </c>
      <c r="C60" s="115">
        <v>0.005047305503632754</v>
      </c>
      <c r="D60" s="112" t="b">
        <v>1</v>
      </c>
      <c r="E60" s="112" t="b">
        <v>0</v>
      </c>
      <c r="F60" s="112" t="b">
        <v>0</v>
      </c>
      <c r="G60" s="112" t="s">
        <v>3521</v>
      </c>
    </row>
    <row r="61" spans="1:7" ht="15">
      <c r="A61" s="114" t="s">
        <v>2687</v>
      </c>
      <c r="B61" s="112">
        <v>7</v>
      </c>
      <c r="C61" s="115">
        <v>0.003506754486519362</v>
      </c>
      <c r="D61" s="112" t="b">
        <v>1</v>
      </c>
      <c r="E61" s="112" t="b">
        <v>0</v>
      </c>
      <c r="F61" s="112" t="b">
        <v>0</v>
      </c>
      <c r="G61" s="112" t="s">
        <v>3521</v>
      </c>
    </row>
    <row r="62" spans="1:7" ht="15">
      <c r="A62" s="114" t="s">
        <v>2682</v>
      </c>
      <c r="B62" s="112">
        <v>7</v>
      </c>
      <c r="C62" s="115">
        <v>0.0031846838789161926</v>
      </c>
      <c r="D62" s="112" t="b">
        <v>0</v>
      </c>
      <c r="E62" s="112" t="b">
        <v>0</v>
      </c>
      <c r="F62" s="112" t="b">
        <v>0</v>
      </c>
      <c r="G62" s="112" t="s">
        <v>3521</v>
      </c>
    </row>
    <row r="63" spans="1:7" ht="15">
      <c r="A63" s="114" t="s">
        <v>2690</v>
      </c>
      <c r="B63" s="112">
        <v>7</v>
      </c>
      <c r="C63" s="115">
        <v>0.0031846838789161926</v>
      </c>
      <c r="D63" s="112" t="b">
        <v>0</v>
      </c>
      <c r="E63" s="112" t="b">
        <v>0</v>
      </c>
      <c r="F63" s="112" t="b">
        <v>0</v>
      </c>
      <c r="G63" s="112" t="s">
        <v>3521</v>
      </c>
    </row>
    <row r="64" spans="1:7" ht="15">
      <c r="A64" s="114" t="s">
        <v>2688</v>
      </c>
      <c r="B64" s="112">
        <v>7</v>
      </c>
      <c r="C64" s="115">
        <v>0.0031846838789161926</v>
      </c>
      <c r="D64" s="112" t="b">
        <v>1</v>
      </c>
      <c r="E64" s="112" t="b">
        <v>0</v>
      </c>
      <c r="F64" s="112" t="b">
        <v>0</v>
      </c>
      <c r="G64" s="112" t="s">
        <v>3521</v>
      </c>
    </row>
    <row r="65" spans="1:7" ht="15">
      <c r="A65" s="114" t="s">
        <v>2692</v>
      </c>
      <c r="B65" s="112">
        <v>7</v>
      </c>
      <c r="C65" s="115">
        <v>0.0031846838789161926</v>
      </c>
      <c r="D65" s="112" t="b">
        <v>0</v>
      </c>
      <c r="E65" s="112" t="b">
        <v>0</v>
      </c>
      <c r="F65" s="112" t="b">
        <v>0</v>
      </c>
      <c r="G65" s="112" t="s">
        <v>3521</v>
      </c>
    </row>
    <row r="66" spans="1:7" ht="15">
      <c r="A66" s="114" t="s">
        <v>2685</v>
      </c>
      <c r="B66" s="112">
        <v>7</v>
      </c>
      <c r="C66" s="115">
        <v>0.0031846838789161926</v>
      </c>
      <c r="D66" s="112" t="b">
        <v>0</v>
      </c>
      <c r="E66" s="112" t="b">
        <v>0</v>
      </c>
      <c r="F66" s="112" t="b">
        <v>0</v>
      </c>
      <c r="G66" s="112" t="s">
        <v>3521</v>
      </c>
    </row>
    <row r="67" spans="1:7" ht="15">
      <c r="A67" s="114" t="s">
        <v>2681</v>
      </c>
      <c r="B67" s="112">
        <v>6</v>
      </c>
      <c r="C67" s="115">
        <v>0.003005789559873739</v>
      </c>
      <c r="D67" s="112" t="b">
        <v>0</v>
      </c>
      <c r="E67" s="112" t="b">
        <v>0</v>
      </c>
      <c r="F67" s="112" t="b">
        <v>0</v>
      </c>
      <c r="G67" s="112" t="s">
        <v>3521</v>
      </c>
    </row>
    <row r="68" spans="1:7" ht="15">
      <c r="A68" s="114" t="s">
        <v>2677</v>
      </c>
      <c r="B68" s="112">
        <v>6</v>
      </c>
      <c r="C68" s="115">
        <v>0.002856202823007949</v>
      </c>
      <c r="D68" s="112" t="b">
        <v>0</v>
      </c>
      <c r="E68" s="112" t="b">
        <v>0</v>
      </c>
      <c r="F68" s="112" t="b">
        <v>0</v>
      </c>
      <c r="G68" s="112" t="s">
        <v>3521</v>
      </c>
    </row>
    <row r="69" spans="1:7" ht="15">
      <c r="A69" s="114" t="s">
        <v>2683</v>
      </c>
      <c r="B69" s="112">
        <v>6</v>
      </c>
      <c r="C69" s="115">
        <v>0.003005789559873739</v>
      </c>
      <c r="D69" s="112" t="b">
        <v>0</v>
      </c>
      <c r="E69" s="112" t="b">
        <v>0</v>
      </c>
      <c r="F69" s="112" t="b">
        <v>0</v>
      </c>
      <c r="G69" s="112" t="s">
        <v>3521</v>
      </c>
    </row>
    <row r="70" spans="1:7" ht="15">
      <c r="A70" s="114" t="s">
        <v>2704</v>
      </c>
      <c r="B70" s="112">
        <v>6</v>
      </c>
      <c r="C70" s="115">
        <v>0.002856202823007949</v>
      </c>
      <c r="D70" s="112" t="b">
        <v>0</v>
      </c>
      <c r="E70" s="112" t="b">
        <v>0</v>
      </c>
      <c r="F70" s="112" t="b">
        <v>0</v>
      </c>
      <c r="G70" s="112" t="s">
        <v>3521</v>
      </c>
    </row>
    <row r="71" spans="1:7" ht="15">
      <c r="A71" s="114" t="s">
        <v>2661</v>
      </c>
      <c r="B71" s="112">
        <v>6</v>
      </c>
      <c r="C71" s="115">
        <v>0.003005789559873739</v>
      </c>
      <c r="D71" s="112" t="b">
        <v>1</v>
      </c>
      <c r="E71" s="112" t="b">
        <v>0</v>
      </c>
      <c r="F71" s="112" t="b">
        <v>0</v>
      </c>
      <c r="G71" s="112" t="s">
        <v>3521</v>
      </c>
    </row>
    <row r="72" spans="1:7" ht="15">
      <c r="A72" s="114" t="s">
        <v>2701</v>
      </c>
      <c r="B72" s="112">
        <v>6</v>
      </c>
      <c r="C72" s="115">
        <v>0.003005789559873739</v>
      </c>
      <c r="D72" s="112" t="b">
        <v>0</v>
      </c>
      <c r="E72" s="112" t="b">
        <v>0</v>
      </c>
      <c r="F72" s="112" t="b">
        <v>0</v>
      </c>
      <c r="G72" s="112" t="s">
        <v>3521</v>
      </c>
    </row>
    <row r="73" spans="1:7" ht="15">
      <c r="A73" s="114" t="s">
        <v>2702</v>
      </c>
      <c r="B73" s="112">
        <v>6</v>
      </c>
      <c r="C73" s="115">
        <v>0.003424899288368115</v>
      </c>
      <c r="D73" s="112" t="b">
        <v>0</v>
      </c>
      <c r="E73" s="112" t="b">
        <v>1</v>
      </c>
      <c r="F73" s="112" t="b">
        <v>0</v>
      </c>
      <c r="G73" s="112" t="s">
        <v>3521</v>
      </c>
    </row>
    <row r="74" spans="1:7" ht="15">
      <c r="A74" s="114" t="s">
        <v>2691</v>
      </c>
      <c r="B74" s="112">
        <v>6</v>
      </c>
      <c r="C74" s="115">
        <v>0.002856202823007949</v>
      </c>
      <c r="D74" s="112" t="b">
        <v>0</v>
      </c>
      <c r="E74" s="112" t="b">
        <v>0</v>
      </c>
      <c r="F74" s="112" t="b">
        <v>0</v>
      </c>
      <c r="G74" s="112" t="s">
        <v>3521</v>
      </c>
    </row>
    <row r="75" spans="1:7" ht="15">
      <c r="A75" s="114" t="s">
        <v>2703</v>
      </c>
      <c r="B75" s="112">
        <v>6</v>
      </c>
      <c r="C75" s="115">
        <v>0.002856202823007949</v>
      </c>
      <c r="D75" s="112" t="b">
        <v>0</v>
      </c>
      <c r="E75" s="112" t="b">
        <v>0</v>
      </c>
      <c r="F75" s="112" t="b">
        <v>0</v>
      </c>
      <c r="G75" s="112" t="s">
        <v>3521</v>
      </c>
    </row>
    <row r="76" spans="1:7" ht="15">
      <c r="A76" s="114" t="s">
        <v>2698</v>
      </c>
      <c r="B76" s="112">
        <v>6</v>
      </c>
      <c r="C76" s="115">
        <v>0.002856202823007949</v>
      </c>
      <c r="D76" s="112" t="b">
        <v>0</v>
      </c>
      <c r="E76" s="112" t="b">
        <v>0</v>
      </c>
      <c r="F76" s="112" t="b">
        <v>0</v>
      </c>
      <c r="G76" s="112" t="s">
        <v>3521</v>
      </c>
    </row>
    <row r="77" spans="1:7" ht="15">
      <c r="A77" s="114" t="s">
        <v>2697</v>
      </c>
      <c r="B77" s="112">
        <v>6</v>
      </c>
      <c r="C77" s="115">
        <v>0.003005789559873739</v>
      </c>
      <c r="D77" s="112" t="b">
        <v>0</v>
      </c>
      <c r="E77" s="112" t="b">
        <v>0</v>
      </c>
      <c r="F77" s="112" t="b">
        <v>0</v>
      </c>
      <c r="G77" s="112" t="s">
        <v>3521</v>
      </c>
    </row>
    <row r="78" spans="1:7" ht="15">
      <c r="A78" s="114" t="s">
        <v>2705</v>
      </c>
      <c r="B78" s="112">
        <v>6</v>
      </c>
      <c r="C78" s="115">
        <v>0.002856202823007949</v>
      </c>
      <c r="D78" s="112" t="b">
        <v>0</v>
      </c>
      <c r="E78" s="112" t="b">
        <v>0</v>
      </c>
      <c r="F78" s="112" t="b">
        <v>0</v>
      </c>
      <c r="G78" s="112" t="s">
        <v>3521</v>
      </c>
    </row>
    <row r="79" spans="1:7" ht="15">
      <c r="A79" s="114" t="s">
        <v>2674</v>
      </c>
      <c r="B79" s="112">
        <v>6</v>
      </c>
      <c r="C79" s="115">
        <v>0.003424899288368115</v>
      </c>
      <c r="D79" s="112" t="b">
        <v>0</v>
      </c>
      <c r="E79" s="112" t="b">
        <v>0</v>
      </c>
      <c r="F79" s="112" t="b">
        <v>0</v>
      </c>
      <c r="G79" s="112" t="s">
        <v>3521</v>
      </c>
    </row>
    <row r="80" spans="1:7" ht="15">
      <c r="A80" s="114" t="s">
        <v>2676</v>
      </c>
      <c r="B80" s="112">
        <v>6</v>
      </c>
      <c r="C80" s="115">
        <v>0.002856202823007949</v>
      </c>
      <c r="D80" s="112" t="b">
        <v>0</v>
      </c>
      <c r="E80" s="112" t="b">
        <v>0</v>
      </c>
      <c r="F80" s="112" t="b">
        <v>0</v>
      </c>
      <c r="G80" s="112" t="s">
        <v>3521</v>
      </c>
    </row>
    <row r="81" spans="1:7" ht="15">
      <c r="A81" s="114" t="s">
        <v>2684</v>
      </c>
      <c r="B81" s="112">
        <v>6</v>
      </c>
      <c r="C81" s="115">
        <v>0.002856202823007949</v>
      </c>
      <c r="D81" s="112" t="b">
        <v>1</v>
      </c>
      <c r="E81" s="112" t="b">
        <v>0</v>
      </c>
      <c r="F81" s="112" t="b">
        <v>0</v>
      </c>
      <c r="G81" s="112" t="s">
        <v>3521</v>
      </c>
    </row>
    <row r="82" spans="1:7" ht="15">
      <c r="A82" s="114" t="s">
        <v>2710</v>
      </c>
      <c r="B82" s="112">
        <v>6</v>
      </c>
      <c r="C82" s="115">
        <v>0.003005789559873739</v>
      </c>
      <c r="D82" s="112" t="b">
        <v>1</v>
      </c>
      <c r="E82" s="112" t="b">
        <v>0</v>
      </c>
      <c r="F82" s="112" t="b">
        <v>0</v>
      </c>
      <c r="G82" s="112" t="s">
        <v>3521</v>
      </c>
    </row>
    <row r="83" spans="1:7" ht="15">
      <c r="A83" s="114" t="s">
        <v>356</v>
      </c>
      <c r="B83" s="112">
        <v>5</v>
      </c>
      <c r="C83" s="115">
        <v>0.002504824633228116</v>
      </c>
      <c r="D83" s="112" t="b">
        <v>0</v>
      </c>
      <c r="E83" s="112" t="b">
        <v>0</v>
      </c>
      <c r="F83" s="112" t="b">
        <v>0</v>
      </c>
      <c r="G83" s="112" t="s">
        <v>3521</v>
      </c>
    </row>
    <row r="84" spans="1:7" ht="15">
      <c r="A84" s="114" t="s">
        <v>2675</v>
      </c>
      <c r="B84" s="112">
        <v>5</v>
      </c>
      <c r="C84" s="115">
        <v>0.002657390774613595</v>
      </c>
      <c r="D84" s="112" t="b">
        <v>0</v>
      </c>
      <c r="E84" s="112" t="b">
        <v>0</v>
      </c>
      <c r="F84" s="112" t="b">
        <v>0</v>
      </c>
      <c r="G84" s="112" t="s">
        <v>3521</v>
      </c>
    </row>
    <row r="85" spans="1:7" ht="15">
      <c r="A85" s="114" t="s">
        <v>2725</v>
      </c>
      <c r="B85" s="112">
        <v>5</v>
      </c>
      <c r="C85" s="115">
        <v>0.002657390774613595</v>
      </c>
      <c r="D85" s="112" t="b">
        <v>0</v>
      </c>
      <c r="E85" s="112" t="b">
        <v>0</v>
      </c>
      <c r="F85" s="112" t="b">
        <v>0</v>
      </c>
      <c r="G85" s="112" t="s">
        <v>3521</v>
      </c>
    </row>
    <row r="86" spans="1:7" ht="15">
      <c r="A86" s="114" t="s">
        <v>2723</v>
      </c>
      <c r="B86" s="112">
        <v>5</v>
      </c>
      <c r="C86" s="115">
        <v>0.002657390774613595</v>
      </c>
      <c r="D86" s="112" t="b">
        <v>0</v>
      </c>
      <c r="E86" s="112" t="b">
        <v>0</v>
      </c>
      <c r="F86" s="112" t="b">
        <v>0</v>
      </c>
      <c r="G86" s="112" t="s">
        <v>3521</v>
      </c>
    </row>
    <row r="87" spans="1:7" ht="15">
      <c r="A87" s="114" t="s">
        <v>2727</v>
      </c>
      <c r="B87" s="112">
        <v>5</v>
      </c>
      <c r="C87" s="115">
        <v>0.002657390774613595</v>
      </c>
      <c r="D87" s="112" t="b">
        <v>0</v>
      </c>
      <c r="E87" s="112" t="b">
        <v>0</v>
      </c>
      <c r="F87" s="112" t="b">
        <v>0</v>
      </c>
      <c r="G87" s="112" t="s">
        <v>3521</v>
      </c>
    </row>
    <row r="88" spans="1:7" ht="15">
      <c r="A88" s="114" t="s">
        <v>2679</v>
      </c>
      <c r="B88" s="112">
        <v>5</v>
      </c>
      <c r="C88" s="115">
        <v>0.002504824633228116</v>
      </c>
      <c r="D88" s="112" t="b">
        <v>1</v>
      </c>
      <c r="E88" s="112" t="b">
        <v>0</v>
      </c>
      <c r="F88" s="112" t="b">
        <v>0</v>
      </c>
      <c r="G88" s="112" t="s">
        <v>3521</v>
      </c>
    </row>
    <row r="89" spans="1:7" ht="15">
      <c r="A89" s="114" t="s">
        <v>2712</v>
      </c>
      <c r="B89" s="112">
        <v>5</v>
      </c>
      <c r="C89" s="115">
        <v>0.002657390774613595</v>
      </c>
      <c r="D89" s="112" t="b">
        <v>0</v>
      </c>
      <c r="E89" s="112" t="b">
        <v>0</v>
      </c>
      <c r="F89" s="112" t="b">
        <v>0</v>
      </c>
      <c r="G89" s="112" t="s">
        <v>3521</v>
      </c>
    </row>
    <row r="90" spans="1:7" ht="15">
      <c r="A90" s="114" t="s">
        <v>2715</v>
      </c>
      <c r="B90" s="112">
        <v>5</v>
      </c>
      <c r="C90" s="115">
        <v>0.002504824633228116</v>
      </c>
      <c r="D90" s="112" t="b">
        <v>1</v>
      </c>
      <c r="E90" s="112" t="b">
        <v>0</v>
      </c>
      <c r="F90" s="112" t="b">
        <v>0</v>
      </c>
      <c r="G90" s="112" t="s">
        <v>3521</v>
      </c>
    </row>
    <row r="91" spans="1:7" ht="15">
      <c r="A91" s="114" t="s">
        <v>2714</v>
      </c>
      <c r="B91" s="112">
        <v>5</v>
      </c>
      <c r="C91" s="115">
        <v>0.002657390774613595</v>
      </c>
      <c r="D91" s="112" t="b">
        <v>0</v>
      </c>
      <c r="E91" s="112" t="b">
        <v>0</v>
      </c>
      <c r="F91" s="112" t="b">
        <v>0</v>
      </c>
      <c r="G91" s="112" t="s">
        <v>3521</v>
      </c>
    </row>
    <row r="92" spans="1:7" ht="15">
      <c r="A92" s="114" t="s">
        <v>2719</v>
      </c>
      <c r="B92" s="112">
        <v>5</v>
      </c>
      <c r="C92" s="115">
        <v>0.002657390774613595</v>
      </c>
      <c r="D92" s="112" t="b">
        <v>0</v>
      </c>
      <c r="E92" s="112" t="b">
        <v>0</v>
      </c>
      <c r="F92" s="112" t="b">
        <v>0</v>
      </c>
      <c r="G92" s="112" t="s">
        <v>3521</v>
      </c>
    </row>
    <row r="93" spans="1:7" ht="15">
      <c r="A93" s="114" t="s">
        <v>2711</v>
      </c>
      <c r="B93" s="112">
        <v>5</v>
      </c>
      <c r="C93" s="115">
        <v>0.002657390774613595</v>
      </c>
      <c r="D93" s="112" t="b">
        <v>0</v>
      </c>
      <c r="E93" s="112" t="b">
        <v>0</v>
      </c>
      <c r="F93" s="112" t="b">
        <v>0</v>
      </c>
      <c r="G93" s="112" t="s">
        <v>3521</v>
      </c>
    </row>
    <row r="94" spans="1:7" ht="15">
      <c r="A94" s="114" t="s">
        <v>2709</v>
      </c>
      <c r="B94" s="112">
        <v>5</v>
      </c>
      <c r="C94" s="115">
        <v>0.002657390774613595</v>
      </c>
      <c r="D94" s="112" t="b">
        <v>0</v>
      </c>
      <c r="E94" s="112" t="b">
        <v>0</v>
      </c>
      <c r="F94" s="112" t="b">
        <v>0</v>
      </c>
      <c r="G94" s="112" t="s">
        <v>3521</v>
      </c>
    </row>
    <row r="95" spans="1:7" ht="15">
      <c r="A95" s="114" t="s">
        <v>2729</v>
      </c>
      <c r="B95" s="112">
        <v>5</v>
      </c>
      <c r="C95" s="115">
        <v>0.0028540827403067625</v>
      </c>
      <c r="D95" s="112" t="b">
        <v>0</v>
      </c>
      <c r="E95" s="112" t="b">
        <v>0</v>
      </c>
      <c r="F95" s="112" t="b">
        <v>0</v>
      </c>
      <c r="G95" s="112" t="s">
        <v>3521</v>
      </c>
    </row>
    <row r="96" spans="1:7" ht="15">
      <c r="A96" s="114" t="s">
        <v>2678</v>
      </c>
      <c r="B96" s="112">
        <v>5</v>
      </c>
      <c r="C96" s="115">
        <v>0.002504824633228116</v>
      </c>
      <c r="D96" s="112" t="b">
        <v>0</v>
      </c>
      <c r="E96" s="112" t="b">
        <v>0</v>
      </c>
      <c r="F96" s="112" t="b">
        <v>0</v>
      </c>
      <c r="G96" s="112" t="s">
        <v>3521</v>
      </c>
    </row>
    <row r="97" spans="1:7" ht="15">
      <c r="A97" s="114" t="s">
        <v>268</v>
      </c>
      <c r="B97" s="112">
        <v>5</v>
      </c>
      <c r="C97" s="115">
        <v>0.002504824633228116</v>
      </c>
      <c r="D97" s="112" t="b">
        <v>0</v>
      </c>
      <c r="E97" s="112" t="b">
        <v>0</v>
      </c>
      <c r="F97" s="112" t="b">
        <v>0</v>
      </c>
      <c r="G97" s="112" t="s">
        <v>3521</v>
      </c>
    </row>
    <row r="98" spans="1:7" ht="15">
      <c r="A98" s="114" t="s">
        <v>2731</v>
      </c>
      <c r="B98" s="112">
        <v>5</v>
      </c>
      <c r="C98" s="115">
        <v>0.002657390774613595</v>
      </c>
      <c r="D98" s="112" t="b">
        <v>0</v>
      </c>
      <c r="E98" s="112" t="b">
        <v>0</v>
      </c>
      <c r="F98" s="112" t="b">
        <v>0</v>
      </c>
      <c r="G98" s="112" t="s">
        <v>3521</v>
      </c>
    </row>
    <row r="99" spans="1:7" ht="15">
      <c r="A99" s="114" t="s">
        <v>2717</v>
      </c>
      <c r="B99" s="112">
        <v>5</v>
      </c>
      <c r="C99" s="115">
        <v>0.002504824633228116</v>
      </c>
      <c r="D99" s="112" t="b">
        <v>0</v>
      </c>
      <c r="E99" s="112" t="b">
        <v>0</v>
      </c>
      <c r="F99" s="112" t="b">
        <v>0</v>
      </c>
      <c r="G99" s="112" t="s">
        <v>3521</v>
      </c>
    </row>
    <row r="100" spans="1:7" ht="15">
      <c r="A100" s="114" t="s">
        <v>2728</v>
      </c>
      <c r="B100" s="112">
        <v>5</v>
      </c>
      <c r="C100" s="115">
        <v>0.002657390774613595</v>
      </c>
      <c r="D100" s="112" t="b">
        <v>1</v>
      </c>
      <c r="E100" s="112" t="b">
        <v>0</v>
      </c>
      <c r="F100" s="112" t="b">
        <v>0</v>
      </c>
      <c r="G100" s="112" t="s">
        <v>3521</v>
      </c>
    </row>
    <row r="101" spans="1:7" ht="15">
      <c r="A101" s="114" t="s">
        <v>2721</v>
      </c>
      <c r="B101" s="112">
        <v>5</v>
      </c>
      <c r="C101" s="115">
        <v>0.0031313044957470668</v>
      </c>
      <c r="D101" s="112" t="b">
        <v>0</v>
      </c>
      <c r="E101" s="112" t="b">
        <v>0</v>
      </c>
      <c r="F101" s="112" t="b">
        <v>0</v>
      </c>
      <c r="G101" s="112" t="s">
        <v>3521</v>
      </c>
    </row>
    <row r="102" spans="1:7" ht="15">
      <c r="A102" s="114" t="s">
        <v>2700</v>
      </c>
      <c r="B102" s="112">
        <v>5</v>
      </c>
      <c r="C102" s="115">
        <v>0.002504824633228116</v>
      </c>
      <c r="D102" s="112" t="b">
        <v>0</v>
      </c>
      <c r="E102" s="112" t="b">
        <v>0</v>
      </c>
      <c r="F102" s="112" t="b">
        <v>0</v>
      </c>
      <c r="G102" s="112" t="s">
        <v>3521</v>
      </c>
    </row>
    <row r="103" spans="1:7" ht="15">
      <c r="A103" s="114" t="s">
        <v>2662</v>
      </c>
      <c r="B103" s="112">
        <v>5</v>
      </c>
      <c r="C103" s="115">
        <v>0.002504824633228116</v>
      </c>
      <c r="D103" s="112" t="b">
        <v>0</v>
      </c>
      <c r="E103" s="112" t="b">
        <v>0</v>
      </c>
      <c r="F103" s="112" t="b">
        <v>0</v>
      </c>
      <c r="G103" s="112" t="s">
        <v>3521</v>
      </c>
    </row>
    <row r="104" spans="1:7" ht="15">
      <c r="A104" s="114" t="s">
        <v>2693</v>
      </c>
      <c r="B104" s="112">
        <v>5</v>
      </c>
      <c r="C104" s="115">
        <v>0.002504824633228116</v>
      </c>
      <c r="D104" s="112" t="b">
        <v>0</v>
      </c>
      <c r="E104" s="112" t="b">
        <v>0</v>
      </c>
      <c r="F104" s="112" t="b">
        <v>0</v>
      </c>
      <c r="G104" s="112" t="s">
        <v>3521</v>
      </c>
    </row>
    <row r="105" spans="1:7" ht="15">
      <c r="A105" s="114" t="s">
        <v>334</v>
      </c>
      <c r="B105" s="112">
        <v>5</v>
      </c>
      <c r="C105" s="115">
        <v>0.002504824633228116</v>
      </c>
      <c r="D105" s="112" t="b">
        <v>0</v>
      </c>
      <c r="E105" s="112" t="b">
        <v>0</v>
      </c>
      <c r="F105" s="112" t="b">
        <v>0</v>
      </c>
      <c r="G105" s="112" t="s">
        <v>3521</v>
      </c>
    </row>
    <row r="106" spans="1:7" ht="15">
      <c r="A106" s="114" t="s">
        <v>2699</v>
      </c>
      <c r="B106" s="112">
        <v>5</v>
      </c>
      <c r="C106" s="115">
        <v>0.002504824633228116</v>
      </c>
      <c r="D106" s="112" t="b">
        <v>0</v>
      </c>
      <c r="E106" s="112" t="b">
        <v>0</v>
      </c>
      <c r="F106" s="112" t="b">
        <v>0</v>
      </c>
      <c r="G106" s="112" t="s">
        <v>3521</v>
      </c>
    </row>
    <row r="107" spans="1:7" ht="15">
      <c r="A107" s="114" t="s">
        <v>2780</v>
      </c>
      <c r="B107" s="112">
        <v>4</v>
      </c>
      <c r="C107" s="115">
        <v>0.002125912619690876</v>
      </c>
      <c r="D107" s="112" t="b">
        <v>0</v>
      </c>
      <c r="E107" s="112" t="b">
        <v>0</v>
      </c>
      <c r="F107" s="112" t="b">
        <v>0</v>
      </c>
      <c r="G107" s="112" t="s">
        <v>3521</v>
      </c>
    </row>
    <row r="108" spans="1:7" ht="15">
      <c r="A108" s="114" t="s">
        <v>2773</v>
      </c>
      <c r="B108" s="112">
        <v>4</v>
      </c>
      <c r="C108" s="115">
        <v>0.002125912619690876</v>
      </c>
      <c r="D108" s="112" t="b">
        <v>0</v>
      </c>
      <c r="E108" s="112" t="b">
        <v>0</v>
      </c>
      <c r="F108" s="112" t="b">
        <v>0</v>
      </c>
      <c r="G108" s="112" t="s">
        <v>3521</v>
      </c>
    </row>
    <row r="109" spans="1:7" ht="15">
      <c r="A109" s="114" t="s">
        <v>2750</v>
      </c>
      <c r="B109" s="112">
        <v>4</v>
      </c>
      <c r="C109" s="115">
        <v>0.0022832661922454096</v>
      </c>
      <c r="D109" s="112" t="b">
        <v>0</v>
      </c>
      <c r="E109" s="112" t="b">
        <v>1</v>
      </c>
      <c r="F109" s="112" t="b">
        <v>0</v>
      </c>
      <c r="G109" s="112" t="s">
        <v>3521</v>
      </c>
    </row>
    <row r="110" spans="1:7" ht="15">
      <c r="A110" s="114" t="s">
        <v>2742</v>
      </c>
      <c r="B110" s="112">
        <v>4</v>
      </c>
      <c r="C110" s="115">
        <v>0.002125912619690876</v>
      </c>
      <c r="D110" s="112" t="b">
        <v>0</v>
      </c>
      <c r="E110" s="112" t="b">
        <v>0</v>
      </c>
      <c r="F110" s="112" t="b">
        <v>0</v>
      </c>
      <c r="G110" s="112" t="s">
        <v>3521</v>
      </c>
    </row>
    <row r="111" spans="1:7" ht="15">
      <c r="A111" s="114" t="s">
        <v>2734</v>
      </c>
      <c r="B111" s="112">
        <v>4</v>
      </c>
      <c r="C111" s="115">
        <v>0.002125912619690876</v>
      </c>
      <c r="D111" s="112" t="b">
        <v>0</v>
      </c>
      <c r="E111" s="112" t="b">
        <v>0</v>
      </c>
      <c r="F111" s="112" t="b">
        <v>0</v>
      </c>
      <c r="G111" s="112" t="s">
        <v>3521</v>
      </c>
    </row>
    <row r="112" spans="1:7" ht="15">
      <c r="A112" s="114" t="s">
        <v>2769</v>
      </c>
      <c r="B112" s="112">
        <v>4</v>
      </c>
      <c r="C112" s="115">
        <v>0.002125912619690876</v>
      </c>
      <c r="D112" s="112" t="b">
        <v>0</v>
      </c>
      <c r="E112" s="112" t="b">
        <v>0</v>
      </c>
      <c r="F112" s="112" t="b">
        <v>0</v>
      </c>
      <c r="G112" s="112" t="s">
        <v>3521</v>
      </c>
    </row>
    <row r="113" spans="1:7" ht="15">
      <c r="A113" s="114" t="s">
        <v>2720</v>
      </c>
      <c r="B113" s="112">
        <v>4</v>
      </c>
      <c r="C113" s="115">
        <v>0.002125912619690876</v>
      </c>
      <c r="D113" s="112" t="b">
        <v>0</v>
      </c>
      <c r="E113" s="112" t="b">
        <v>0</v>
      </c>
      <c r="F113" s="112" t="b">
        <v>0</v>
      </c>
      <c r="G113" s="112" t="s">
        <v>3521</v>
      </c>
    </row>
    <row r="114" spans="1:7" ht="15">
      <c r="A114" s="114" t="s">
        <v>2762</v>
      </c>
      <c r="B114" s="112">
        <v>4</v>
      </c>
      <c r="C114" s="115">
        <v>0.002125912619690876</v>
      </c>
      <c r="D114" s="112" t="b">
        <v>1</v>
      </c>
      <c r="E114" s="112" t="b">
        <v>0</v>
      </c>
      <c r="F114" s="112" t="b">
        <v>0</v>
      </c>
      <c r="G114" s="112" t="s">
        <v>3521</v>
      </c>
    </row>
    <row r="115" spans="1:7" ht="15">
      <c r="A115" s="114" t="s">
        <v>2739</v>
      </c>
      <c r="B115" s="112">
        <v>4</v>
      </c>
      <c r="C115" s="115">
        <v>0.002125912619690876</v>
      </c>
      <c r="D115" s="112" t="b">
        <v>1</v>
      </c>
      <c r="E115" s="112" t="b">
        <v>0</v>
      </c>
      <c r="F115" s="112" t="b">
        <v>0</v>
      </c>
      <c r="G115" s="112" t="s">
        <v>3521</v>
      </c>
    </row>
    <row r="116" spans="1:7" ht="15">
      <c r="A116" s="114" t="s">
        <v>2767</v>
      </c>
      <c r="B116" s="112">
        <v>4</v>
      </c>
      <c r="C116" s="115">
        <v>0.0022832661922454096</v>
      </c>
      <c r="D116" s="112" t="b">
        <v>0</v>
      </c>
      <c r="E116" s="112" t="b">
        <v>0</v>
      </c>
      <c r="F116" s="112" t="b">
        <v>0</v>
      </c>
      <c r="G116" s="112" t="s">
        <v>3521</v>
      </c>
    </row>
    <row r="117" spans="1:7" ht="15">
      <c r="A117" s="114" t="s">
        <v>2694</v>
      </c>
      <c r="B117" s="112">
        <v>4</v>
      </c>
      <c r="C117" s="115">
        <v>0.002125912619690876</v>
      </c>
      <c r="D117" s="112" t="b">
        <v>0</v>
      </c>
      <c r="E117" s="112" t="b">
        <v>0</v>
      </c>
      <c r="F117" s="112" t="b">
        <v>0</v>
      </c>
      <c r="G117" s="112" t="s">
        <v>3521</v>
      </c>
    </row>
    <row r="118" spans="1:7" ht="15">
      <c r="A118" s="114" t="s">
        <v>2768</v>
      </c>
      <c r="B118" s="112">
        <v>4</v>
      </c>
      <c r="C118" s="115">
        <v>0.0025050435965976534</v>
      </c>
      <c r="D118" s="112" t="b">
        <v>0</v>
      </c>
      <c r="E118" s="112" t="b">
        <v>0</v>
      </c>
      <c r="F118" s="112" t="b">
        <v>0</v>
      </c>
      <c r="G118" s="112" t="s">
        <v>3521</v>
      </c>
    </row>
    <row r="119" spans="1:7" ht="15">
      <c r="A119" s="114" t="s">
        <v>2730</v>
      </c>
      <c r="B119" s="112">
        <v>4</v>
      </c>
      <c r="C119" s="115">
        <v>0.002125912619690876</v>
      </c>
      <c r="D119" s="112" t="b">
        <v>0</v>
      </c>
      <c r="E119" s="112" t="b">
        <v>0</v>
      </c>
      <c r="F119" s="112" t="b">
        <v>0</v>
      </c>
      <c r="G119" s="112" t="s">
        <v>3521</v>
      </c>
    </row>
    <row r="120" spans="1:7" ht="15">
      <c r="A120" s="114" t="s">
        <v>2695</v>
      </c>
      <c r="B120" s="112">
        <v>4</v>
      </c>
      <c r="C120" s="115">
        <v>0.002125912619690876</v>
      </c>
      <c r="D120" s="112" t="b">
        <v>0</v>
      </c>
      <c r="E120" s="112" t="b">
        <v>0</v>
      </c>
      <c r="F120" s="112" t="b">
        <v>0</v>
      </c>
      <c r="G120" s="112" t="s">
        <v>3521</v>
      </c>
    </row>
    <row r="121" spans="1:7" ht="15">
      <c r="A121" s="114" t="s">
        <v>2758</v>
      </c>
      <c r="B121" s="112">
        <v>4</v>
      </c>
      <c r="C121" s="115">
        <v>0.0022832661922454096</v>
      </c>
      <c r="D121" s="112" t="b">
        <v>0</v>
      </c>
      <c r="E121" s="112" t="b">
        <v>0</v>
      </c>
      <c r="F121" s="112" t="b">
        <v>0</v>
      </c>
      <c r="G121" s="112" t="s">
        <v>3521</v>
      </c>
    </row>
    <row r="122" spans="1:7" ht="15">
      <c r="A122" s="114" t="s">
        <v>2754</v>
      </c>
      <c r="B122" s="112">
        <v>4</v>
      </c>
      <c r="C122" s="115">
        <v>0.002125912619690876</v>
      </c>
      <c r="D122" s="112" t="b">
        <v>0</v>
      </c>
      <c r="E122" s="112" t="b">
        <v>0</v>
      </c>
      <c r="F122" s="112" t="b">
        <v>0</v>
      </c>
      <c r="G122" s="112" t="s">
        <v>3521</v>
      </c>
    </row>
    <row r="123" spans="1:7" ht="15">
      <c r="A123" s="114" t="s">
        <v>2779</v>
      </c>
      <c r="B123" s="112">
        <v>4</v>
      </c>
      <c r="C123" s="115">
        <v>0.002125912619690876</v>
      </c>
      <c r="D123" s="112" t="b">
        <v>0</v>
      </c>
      <c r="E123" s="112" t="b">
        <v>0</v>
      </c>
      <c r="F123" s="112" t="b">
        <v>0</v>
      </c>
      <c r="G123" s="112" t="s">
        <v>3521</v>
      </c>
    </row>
    <row r="124" spans="1:7" ht="15">
      <c r="A124" s="114" t="s">
        <v>2708</v>
      </c>
      <c r="B124" s="112">
        <v>4</v>
      </c>
      <c r="C124" s="115">
        <v>0.002125912619690876</v>
      </c>
      <c r="D124" s="112" t="b">
        <v>0</v>
      </c>
      <c r="E124" s="112" t="b">
        <v>0</v>
      </c>
      <c r="F124" s="112" t="b">
        <v>0</v>
      </c>
      <c r="G124" s="112" t="s">
        <v>3521</v>
      </c>
    </row>
    <row r="125" spans="1:7" ht="15">
      <c r="A125" s="114" t="s">
        <v>2778</v>
      </c>
      <c r="B125" s="112">
        <v>4</v>
      </c>
      <c r="C125" s="115">
        <v>0.002125912619690876</v>
      </c>
      <c r="D125" s="112" t="b">
        <v>0</v>
      </c>
      <c r="E125" s="112" t="b">
        <v>0</v>
      </c>
      <c r="F125" s="112" t="b">
        <v>0</v>
      </c>
      <c r="G125" s="112" t="s">
        <v>3521</v>
      </c>
    </row>
    <row r="126" spans="1:7" ht="15">
      <c r="A126" s="114" t="s">
        <v>2707</v>
      </c>
      <c r="B126" s="112">
        <v>4</v>
      </c>
      <c r="C126" s="115">
        <v>0.002125912619690876</v>
      </c>
      <c r="D126" s="112" t="b">
        <v>0</v>
      </c>
      <c r="E126" s="112" t="b">
        <v>0</v>
      </c>
      <c r="F126" s="112" t="b">
        <v>0</v>
      </c>
      <c r="G126" s="112" t="s">
        <v>3521</v>
      </c>
    </row>
    <row r="127" spans="1:7" ht="15">
      <c r="A127" s="114" t="s">
        <v>2763</v>
      </c>
      <c r="B127" s="112">
        <v>4</v>
      </c>
      <c r="C127" s="115">
        <v>0.002125912619690876</v>
      </c>
      <c r="D127" s="112" t="b">
        <v>1</v>
      </c>
      <c r="E127" s="112" t="b">
        <v>0</v>
      </c>
      <c r="F127" s="112" t="b">
        <v>0</v>
      </c>
      <c r="G127" s="112" t="s">
        <v>3521</v>
      </c>
    </row>
    <row r="128" spans="1:7" ht="15">
      <c r="A128" s="114" t="s">
        <v>2764</v>
      </c>
      <c r="B128" s="112">
        <v>4</v>
      </c>
      <c r="C128" s="115">
        <v>0.0022832661922454096</v>
      </c>
      <c r="D128" s="112" t="b">
        <v>0</v>
      </c>
      <c r="E128" s="112" t="b">
        <v>0</v>
      </c>
      <c r="F128" s="112" t="b">
        <v>0</v>
      </c>
      <c r="G128" s="112" t="s">
        <v>3521</v>
      </c>
    </row>
    <row r="129" spans="1:7" ht="15">
      <c r="A129" s="114" t="s">
        <v>2757</v>
      </c>
      <c r="B129" s="112">
        <v>4</v>
      </c>
      <c r="C129" s="115">
        <v>0.002125912619690876</v>
      </c>
      <c r="D129" s="112" t="b">
        <v>0</v>
      </c>
      <c r="E129" s="112" t="b">
        <v>0</v>
      </c>
      <c r="F129" s="112" t="b">
        <v>0</v>
      </c>
      <c r="G129" s="112" t="s">
        <v>3521</v>
      </c>
    </row>
    <row r="130" spans="1:7" ht="15">
      <c r="A130" s="114" t="s">
        <v>2737</v>
      </c>
      <c r="B130" s="112">
        <v>4</v>
      </c>
      <c r="C130" s="115">
        <v>0.0022832661922454096</v>
      </c>
      <c r="D130" s="112" t="b">
        <v>1</v>
      </c>
      <c r="E130" s="112" t="b">
        <v>0</v>
      </c>
      <c r="F130" s="112" t="b">
        <v>0</v>
      </c>
      <c r="G130" s="112" t="s">
        <v>3521</v>
      </c>
    </row>
    <row r="131" spans="1:7" ht="15">
      <c r="A131" s="114" t="s">
        <v>2761</v>
      </c>
      <c r="B131" s="112">
        <v>4</v>
      </c>
      <c r="C131" s="115">
        <v>0.0025050435965976534</v>
      </c>
      <c r="D131" s="112" t="b">
        <v>0</v>
      </c>
      <c r="E131" s="112" t="b">
        <v>0</v>
      </c>
      <c r="F131" s="112" t="b">
        <v>0</v>
      </c>
      <c r="G131" s="112" t="s">
        <v>3521</v>
      </c>
    </row>
    <row r="132" spans="1:7" ht="15">
      <c r="A132" s="114" t="s">
        <v>2775</v>
      </c>
      <c r="B132" s="112">
        <v>4</v>
      </c>
      <c r="C132" s="115">
        <v>0.002125912619690876</v>
      </c>
      <c r="D132" s="112" t="b">
        <v>0</v>
      </c>
      <c r="E132" s="112" t="b">
        <v>1</v>
      </c>
      <c r="F132" s="112" t="b">
        <v>0</v>
      </c>
      <c r="G132" s="112" t="s">
        <v>3521</v>
      </c>
    </row>
    <row r="133" spans="1:7" ht="15">
      <c r="A133" s="114" t="s">
        <v>2777</v>
      </c>
      <c r="B133" s="112">
        <v>4</v>
      </c>
      <c r="C133" s="115">
        <v>0.002125912619690876</v>
      </c>
      <c r="D133" s="112" t="b">
        <v>0</v>
      </c>
      <c r="E133" s="112" t="b">
        <v>0</v>
      </c>
      <c r="F133" s="112" t="b">
        <v>0</v>
      </c>
      <c r="G133" s="112" t="s">
        <v>3521</v>
      </c>
    </row>
    <row r="134" spans="1:7" ht="15">
      <c r="A134" s="114" t="s">
        <v>2726</v>
      </c>
      <c r="B134" s="112">
        <v>4</v>
      </c>
      <c r="C134" s="115">
        <v>0.002125912619690876</v>
      </c>
      <c r="D134" s="112" t="b">
        <v>0</v>
      </c>
      <c r="E134" s="112" t="b">
        <v>0</v>
      </c>
      <c r="F134" s="112" t="b">
        <v>0</v>
      </c>
      <c r="G134" s="112" t="s">
        <v>3521</v>
      </c>
    </row>
    <row r="135" spans="1:7" ht="15">
      <c r="A135" s="114" t="s">
        <v>2776</v>
      </c>
      <c r="B135" s="112">
        <v>4</v>
      </c>
      <c r="C135" s="115">
        <v>0.002125912619690876</v>
      </c>
      <c r="D135" s="112" t="b">
        <v>0</v>
      </c>
      <c r="E135" s="112" t="b">
        <v>0</v>
      </c>
      <c r="F135" s="112" t="b">
        <v>0</v>
      </c>
      <c r="G135" s="112" t="s">
        <v>3521</v>
      </c>
    </row>
    <row r="136" spans="1:7" ht="15">
      <c r="A136" s="114" t="s">
        <v>338</v>
      </c>
      <c r="B136" s="112">
        <v>4</v>
      </c>
      <c r="C136" s="115">
        <v>0.002125912619690876</v>
      </c>
      <c r="D136" s="112" t="b">
        <v>0</v>
      </c>
      <c r="E136" s="112" t="b">
        <v>0</v>
      </c>
      <c r="F136" s="112" t="b">
        <v>0</v>
      </c>
      <c r="G136" s="112" t="s">
        <v>3521</v>
      </c>
    </row>
    <row r="137" spans="1:7" ht="15">
      <c r="A137" s="114" t="s">
        <v>2745</v>
      </c>
      <c r="B137" s="112">
        <v>4</v>
      </c>
      <c r="C137" s="115">
        <v>0.0022832661922454096</v>
      </c>
      <c r="D137" s="112" t="b">
        <v>0</v>
      </c>
      <c r="E137" s="112" t="b">
        <v>0</v>
      </c>
      <c r="F137" s="112" t="b">
        <v>0</v>
      </c>
      <c r="G137" s="112" t="s">
        <v>3521</v>
      </c>
    </row>
    <row r="138" spans="1:7" ht="15">
      <c r="A138" s="114" t="s">
        <v>2706</v>
      </c>
      <c r="B138" s="112">
        <v>4</v>
      </c>
      <c r="C138" s="115">
        <v>0.002125912619690876</v>
      </c>
      <c r="D138" s="112" t="b">
        <v>0</v>
      </c>
      <c r="E138" s="112" t="b">
        <v>0</v>
      </c>
      <c r="F138" s="112" t="b">
        <v>0</v>
      </c>
      <c r="G138" s="112" t="s">
        <v>3521</v>
      </c>
    </row>
    <row r="139" spans="1:7" ht="15">
      <c r="A139" s="114" t="s">
        <v>2755</v>
      </c>
      <c r="B139" s="112">
        <v>4</v>
      </c>
      <c r="C139" s="115">
        <v>0.0025050435965976534</v>
      </c>
      <c r="D139" s="112" t="b">
        <v>0</v>
      </c>
      <c r="E139" s="112" t="b">
        <v>0</v>
      </c>
      <c r="F139" s="112" t="b">
        <v>0</v>
      </c>
      <c r="G139" s="112" t="s">
        <v>3521</v>
      </c>
    </row>
    <row r="140" spans="1:7" ht="15">
      <c r="A140" s="114" t="s">
        <v>2752</v>
      </c>
      <c r="B140" s="112">
        <v>4</v>
      </c>
      <c r="C140" s="115">
        <v>0.0025050435965976534</v>
      </c>
      <c r="D140" s="112" t="b">
        <v>0</v>
      </c>
      <c r="E140" s="112" t="b">
        <v>0</v>
      </c>
      <c r="F140" s="112" t="b">
        <v>0</v>
      </c>
      <c r="G140" s="112" t="s">
        <v>3521</v>
      </c>
    </row>
    <row r="141" spans="1:7" ht="15">
      <c r="A141" s="114" t="s">
        <v>2738</v>
      </c>
      <c r="B141" s="112">
        <v>4</v>
      </c>
      <c r="C141" s="115">
        <v>0.002125912619690876</v>
      </c>
      <c r="D141" s="112" t="b">
        <v>0</v>
      </c>
      <c r="E141" s="112" t="b">
        <v>0</v>
      </c>
      <c r="F141" s="112" t="b">
        <v>0</v>
      </c>
      <c r="G141" s="112" t="s">
        <v>3521</v>
      </c>
    </row>
    <row r="142" spans="1:7" ht="15">
      <c r="A142" s="114" t="s">
        <v>2724</v>
      </c>
      <c r="B142" s="112">
        <v>4</v>
      </c>
      <c r="C142" s="115">
        <v>0.002125912619690876</v>
      </c>
      <c r="D142" s="112" t="b">
        <v>1</v>
      </c>
      <c r="E142" s="112" t="b">
        <v>0</v>
      </c>
      <c r="F142" s="112" t="b">
        <v>0</v>
      </c>
      <c r="G142" s="112" t="s">
        <v>3521</v>
      </c>
    </row>
    <row r="143" spans="1:7" ht="15">
      <c r="A143" s="114" t="s">
        <v>2781</v>
      </c>
      <c r="B143" s="112">
        <v>4</v>
      </c>
      <c r="C143" s="115">
        <v>0.002125912619690876</v>
      </c>
      <c r="D143" s="112" t="b">
        <v>0</v>
      </c>
      <c r="E143" s="112" t="b">
        <v>0</v>
      </c>
      <c r="F143" s="112" t="b">
        <v>0</v>
      </c>
      <c r="G143" s="112" t="s">
        <v>3521</v>
      </c>
    </row>
    <row r="144" spans="1:7" ht="15">
      <c r="A144" s="114" t="s">
        <v>2760</v>
      </c>
      <c r="B144" s="112">
        <v>4</v>
      </c>
      <c r="C144" s="115">
        <v>0.002125912619690876</v>
      </c>
      <c r="D144" s="112" t="b">
        <v>0</v>
      </c>
      <c r="E144" s="112" t="b">
        <v>0</v>
      </c>
      <c r="F144" s="112" t="b">
        <v>0</v>
      </c>
      <c r="G144" s="112" t="s">
        <v>3521</v>
      </c>
    </row>
    <row r="145" spans="1:7" ht="15">
      <c r="A145" s="114" t="s">
        <v>2735</v>
      </c>
      <c r="B145" s="112">
        <v>4</v>
      </c>
      <c r="C145" s="115">
        <v>0.0025050435965976534</v>
      </c>
      <c r="D145" s="112" t="b">
        <v>0</v>
      </c>
      <c r="E145" s="112" t="b">
        <v>0</v>
      </c>
      <c r="F145" s="112" t="b">
        <v>0</v>
      </c>
      <c r="G145" s="112" t="s">
        <v>3521</v>
      </c>
    </row>
    <row r="146" spans="1:7" ht="15">
      <c r="A146" s="114" t="s">
        <v>2759</v>
      </c>
      <c r="B146" s="112">
        <v>4</v>
      </c>
      <c r="C146" s="115">
        <v>0.002125912619690876</v>
      </c>
      <c r="D146" s="112" t="b">
        <v>0</v>
      </c>
      <c r="E146" s="112" t="b">
        <v>1</v>
      </c>
      <c r="F146" s="112" t="b">
        <v>0</v>
      </c>
      <c r="G146" s="112" t="s">
        <v>3521</v>
      </c>
    </row>
    <row r="147" spans="1:7" ht="15">
      <c r="A147" s="114" t="s">
        <v>2748</v>
      </c>
      <c r="B147" s="112">
        <v>4</v>
      </c>
      <c r="C147" s="115">
        <v>0.002125912619690876</v>
      </c>
      <c r="D147" s="112" t="b">
        <v>1</v>
      </c>
      <c r="E147" s="112" t="b">
        <v>0</v>
      </c>
      <c r="F147" s="112" t="b">
        <v>0</v>
      </c>
      <c r="G147" s="112" t="s">
        <v>3521</v>
      </c>
    </row>
    <row r="148" spans="1:7" ht="15">
      <c r="A148" s="114" t="s">
        <v>339</v>
      </c>
      <c r="B148" s="112">
        <v>4</v>
      </c>
      <c r="C148" s="115">
        <v>0.002125912619690876</v>
      </c>
      <c r="D148" s="112" t="b">
        <v>0</v>
      </c>
      <c r="E148" s="112" t="b">
        <v>0</v>
      </c>
      <c r="F148" s="112" t="b">
        <v>0</v>
      </c>
      <c r="G148" s="112" t="s">
        <v>3521</v>
      </c>
    </row>
    <row r="149" spans="1:7" ht="15">
      <c r="A149" s="114" t="s">
        <v>314</v>
      </c>
      <c r="B149" s="112">
        <v>3</v>
      </c>
      <c r="C149" s="115">
        <v>0.0017124496441840574</v>
      </c>
      <c r="D149" s="112" t="b">
        <v>0</v>
      </c>
      <c r="E149" s="112" t="b">
        <v>0</v>
      </c>
      <c r="F149" s="112" t="b">
        <v>0</v>
      </c>
      <c r="G149" s="112" t="s">
        <v>3521</v>
      </c>
    </row>
    <row r="150" spans="1:7" ht="15">
      <c r="A150" s="114" t="s">
        <v>2770</v>
      </c>
      <c r="B150" s="112">
        <v>3</v>
      </c>
      <c r="C150" s="115">
        <v>0.00187878269744824</v>
      </c>
      <c r="D150" s="112" t="b">
        <v>0</v>
      </c>
      <c r="E150" s="112" t="b">
        <v>0</v>
      </c>
      <c r="F150" s="112" t="b">
        <v>0</v>
      </c>
      <c r="G150" s="112" t="s">
        <v>3521</v>
      </c>
    </row>
    <row r="151" spans="1:7" ht="15">
      <c r="A151" s="114" t="s">
        <v>2782</v>
      </c>
      <c r="B151" s="112">
        <v>3</v>
      </c>
      <c r="C151" s="115">
        <v>0.0017124496441840574</v>
      </c>
      <c r="D151" s="112" t="b">
        <v>0</v>
      </c>
      <c r="E151" s="112" t="b">
        <v>0</v>
      </c>
      <c r="F151" s="112" t="b">
        <v>0</v>
      </c>
      <c r="G151" s="112" t="s">
        <v>3521</v>
      </c>
    </row>
    <row r="152" spans="1:7" ht="15">
      <c r="A152" s="114" t="s">
        <v>2740</v>
      </c>
      <c r="B152" s="112">
        <v>3</v>
      </c>
      <c r="C152" s="115">
        <v>0.0017124496441840574</v>
      </c>
      <c r="D152" s="112" t="b">
        <v>0</v>
      </c>
      <c r="E152" s="112" t="b">
        <v>0</v>
      </c>
      <c r="F152" s="112" t="b">
        <v>0</v>
      </c>
      <c r="G152" s="112" t="s">
        <v>3521</v>
      </c>
    </row>
    <row r="153" spans="1:7" ht="15">
      <c r="A153" s="114" t="s">
        <v>2813</v>
      </c>
      <c r="B153" s="112">
        <v>3</v>
      </c>
      <c r="C153" s="115">
        <v>0.0017124496441840574</v>
      </c>
      <c r="D153" s="112" t="b">
        <v>0</v>
      </c>
      <c r="E153" s="112" t="b">
        <v>0</v>
      </c>
      <c r="F153" s="112" t="b">
        <v>0</v>
      </c>
      <c r="G153" s="112" t="s">
        <v>3521</v>
      </c>
    </row>
    <row r="154" spans="1:7" ht="15">
      <c r="A154" s="114" t="s">
        <v>2831</v>
      </c>
      <c r="B154" s="112">
        <v>3</v>
      </c>
      <c r="C154" s="115">
        <v>0.00187878269744824</v>
      </c>
      <c r="D154" s="112" t="b">
        <v>0</v>
      </c>
      <c r="E154" s="112" t="b">
        <v>0</v>
      </c>
      <c r="F154" s="112" t="b">
        <v>0</v>
      </c>
      <c r="G154" s="112" t="s">
        <v>3521</v>
      </c>
    </row>
    <row r="155" spans="1:7" ht="15">
      <c r="A155" s="114" t="s">
        <v>2733</v>
      </c>
      <c r="B155" s="112">
        <v>3</v>
      </c>
      <c r="C155" s="115">
        <v>0.0017124496441840574</v>
      </c>
      <c r="D155" s="112" t="b">
        <v>0</v>
      </c>
      <c r="E155" s="112" t="b">
        <v>0</v>
      </c>
      <c r="F155" s="112" t="b">
        <v>0</v>
      </c>
      <c r="G155" s="112" t="s">
        <v>3521</v>
      </c>
    </row>
    <row r="156" spans="1:7" ht="15">
      <c r="A156" s="114" t="s">
        <v>2817</v>
      </c>
      <c r="B156" s="112">
        <v>3</v>
      </c>
      <c r="C156" s="115">
        <v>0.00187878269744824</v>
      </c>
      <c r="D156" s="112" t="b">
        <v>0</v>
      </c>
      <c r="E156" s="112" t="b">
        <v>0</v>
      </c>
      <c r="F156" s="112" t="b">
        <v>0</v>
      </c>
      <c r="G156" s="112" t="s">
        <v>3521</v>
      </c>
    </row>
    <row r="157" spans="1:7" ht="15">
      <c r="A157" s="114" t="s">
        <v>2736</v>
      </c>
      <c r="B157" s="112">
        <v>3</v>
      </c>
      <c r="C157" s="115">
        <v>0.00187878269744824</v>
      </c>
      <c r="D157" s="112" t="b">
        <v>0</v>
      </c>
      <c r="E157" s="112" t="b">
        <v>0</v>
      </c>
      <c r="F157" s="112" t="b">
        <v>0</v>
      </c>
      <c r="G157" s="112" t="s">
        <v>3521</v>
      </c>
    </row>
    <row r="158" spans="1:7" ht="15">
      <c r="A158" s="114" t="s">
        <v>2788</v>
      </c>
      <c r="B158" s="112">
        <v>3</v>
      </c>
      <c r="C158" s="115">
        <v>0.0017124496441840574</v>
      </c>
      <c r="D158" s="112" t="b">
        <v>1</v>
      </c>
      <c r="E158" s="112" t="b">
        <v>0</v>
      </c>
      <c r="F158" s="112" t="b">
        <v>0</v>
      </c>
      <c r="G158" s="112" t="s">
        <v>3521</v>
      </c>
    </row>
    <row r="159" spans="1:7" ht="15">
      <c r="A159" s="114" t="s">
        <v>2787</v>
      </c>
      <c r="B159" s="112">
        <v>3</v>
      </c>
      <c r="C159" s="115">
        <v>0.0017124496441840574</v>
      </c>
      <c r="D159" s="112" t="b">
        <v>0</v>
      </c>
      <c r="E159" s="112" t="b">
        <v>0</v>
      </c>
      <c r="F159" s="112" t="b">
        <v>0</v>
      </c>
      <c r="G159" s="112" t="s">
        <v>3521</v>
      </c>
    </row>
    <row r="160" spans="1:7" ht="15">
      <c r="A160" s="114" t="s">
        <v>2853</v>
      </c>
      <c r="B160" s="112">
        <v>3</v>
      </c>
      <c r="C160" s="115">
        <v>0.0017124496441840574</v>
      </c>
      <c r="D160" s="112" t="b">
        <v>0</v>
      </c>
      <c r="E160" s="112" t="b">
        <v>0</v>
      </c>
      <c r="F160" s="112" t="b">
        <v>0</v>
      </c>
      <c r="G160" s="112" t="s">
        <v>3521</v>
      </c>
    </row>
    <row r="161" spans="1:7" ht="15">
      <c r="A161" s="114" t="s">
        <v>2836</v>
      </c>
      <c r="B161" s="112">
        <v>3</v>
      </c>
      <c r="C161" s="115">
        <v>0.00187878269744824</v>
      </c>
      <c r="D161" s="112" t="b">
        <v>0</v>
      </c>
      <c r="E161" s="112" t="b">
        <v>0</v>
      </c>
      <c r="F161" s="112" t="b">
        <v>0</v>
      </c>
      <c r="G161" s="112" t="s">
        <v>3521</v>
      </c>
    </row>
    <row r="162" spans="1:7" ht="15">
      <c r="A162" s="114" t="s">
        <v>2829</v>
      </c>
      <c r="B162" s="112">
        <v>3</v>
      </c>
      <c r="C162" s="115">
        <v>0.0017124496441840574</v>
      </c>
      <c r="D162" s="112" t="b">
        <v>0</v>
      </c>
      <c r="E162" s="112" t="b">
        <v>0</v>
      </c>
      <c r="F162" s="112" t="b">
        <v>0</v>
      </c>
      <c r="G162" s="112" t="s">
        <v>3521</v>
      </c>
    </row>
    <row r="163" spans="1:7" ht="15">
      <c r="A163" s="114" t="s">
        <v>2839</v>
      </c>
      <c r="B163" s="112">
        <v>3</v>
      </c>
      <c r="C163" s="115">
        <v>0.002163130930128323</v>
      </c>
      <c r="D163" s="112" t="b">
        <v>0</v>
      </c>
      <c r="E163" s="112" t="b">
        <v>0</v>
      </c>
      <c r="F163" s="112" t="b">
        <v>0</v>
      </c>
      <c r="G163" s="112" t="s">
        <v>3521</v>
      </c>
    </row>
    <row r="164" spans="1:7" ht="15">
      <c r="A164" s="114" t="s">
        <v>2850</v>
      </c>
      <c r="B164" s="112">
        <v>3</v>
      </c>
      <c r="C164" s="115">
        <v>0.0017124496441840574</v>
      </c>
      <c r="D164" s="112" t="b">
        <v>0</v>
      </c>
      <c r="E164" s="112" t="b">
        <v>0</v>
      </c>
      <c r="F164" s="112" t="b">
        <v>0</v>
      </c>
      <c r="G164" s="112" t="s">
        <v>3521</v>
      </c>
    </row>
    <row r="165" spans="1:7" ht="15">
      <c r="A165" s="114" t="s">
        <v>2842</v>
      </c>
      <c r="B165" s="112">
        <v>3</v>
      </c>
      <c r="C165" s="115">
        <v>0.0017124496441840574</v>
      </c>
      <c r="D165" s="112" t="b">
        <v>0</v>
      </c>
      <c r="E165" s="112" t="b">
        <v>0</v>
      </c>
      <c r="F165" s="112" t="b">
        <v>0</v>
      </c>
      <c r="G165" s="112" t="s">
        <v>3521</v>
      </c>
    </row>
    <row r="166" spans="1:7" ht="15">
      <c r="A166" s="114" t="s">
        <v>2856</v>
      </c>
      <c r="B166" s="112">
        <v>3</v>
      </c>
      <c r="C166" s="115">
        <v>0.0017124496441840574</v>
      </c>
      <c r="D166" s="112" t="b">
        <v>0</v>
      </c>
      <c r="E166" s="112" t="b">
        <v>0</v>
      </c>
      <c r="F166" s="112" t="b">
        <v>0</v>
      </c>
      <c r="G166" s="112" t="s">
        <v>3521</v>
      </c>
    </row>
    <row r="167" spans="1:7" ht="15">
      <c r="A167" s="114" t="s">
        <v>2789</v>
      </c>
      <c r="B167" s="112">
        <v>3</v>
      </c>
      <c r="C167" s="115">
        <v>0.0017124496441840574</v>
      </c>
      <c r="D167" s="112" t="b">
        <v>0</v>
      </c>
      <c r="E167" s="112" t="b">
        <v>0</v>
      </c>
      <c r="F167" s="112" t="b">
        <v>0</v>
      </c>
      <c r="G167" s="112" t="s">
        <v>3521</v>
      </c>
    </row>
    <row r="168" spans="1:7" ht="15">
      <c r="A168" s="114" t="s">
        <v>2855</v>
      </c>
      <c r="B168" s="112">
        <v>3</v>
      </c>
      <c r="C168" s="115">
        <v>0.0017124496441840574</v>
      </c>
      <c r="D168" s="112" t="b">
        <v>0</v>
      </c>
      <c r="E168" s="112" t="b">
        <v>0</v>
      </c>
      <c r="F168" s="112" t="b">
        <v>0</v>
      </c>
      <c r="G168" s="112" t="s">
        <v>3521</v>
      </c>
    </row>
    <row r="169" spans="1:7" ht="15">
      <c r="A169" s="114" t="s">
        <v>2849</v>
      </c>
      <c r="B169" s="112">
        <v>3</v>
      </c>
      <c r="C169" s="115">
        <v>0.00187878269744824</v>
      </c>
      <c r="D169" s="112" t="b">
        <v>1</v>
      </c>
      <c r="E169" s="112" t="b">
        <v>0</v>
      </c>
      <c r="F169" s="112" t="b">
        <v>0</v>
      </c>
      <c r="G169" s="112" t="s">
        <v>3521</v>
      </c>
    </row>
    <row r="170" spans="1:7" ht="15">
      <c r="A170" s="114" t="s">
        <v>359</v>
      </c>
      <c r="B170" s="112">
        <v>3</v>
      </c>
      <c r="C170" s="115">
        <v>0.00187878269744824</v>
      </c>
      <c r="D170" s="112" t="b">
        <v>0</v>
      </c>
      <c r="E170" s="112" t="b">
        <v>0</v>
      </c>
      <c r="F170" s="112" t="b">
        <v>0</v>
      </c>
      <c r="G170" s="112" t="s">
        <v>3521</v>
      </c>
    </row>
    <row r="171" spans="1:7" ht="15">
      <c r="A171" s="114" t="s">
        <v>2791</v>
      </c>
      <c r="B171" s="112">
        <v>3</v>
      </c>
      <c r="C171" s="115">
        <v>0.0017124496441840574</v>
      </c>
      <c r="D171" s="112" t="b">
        <v>0</v>
      </c>
      <c r="E171" s="112" t="b">
        <v>1</v>
      </c>
      <c r="F171" s="112" t="b">
        <v>0</v>
      </c>
      <c r="G171" s="112" t="s">
        <v>3521</v>
      </c>
    </row>
    <row r="172" spans="1:7" ht="15">
      <c r="A172" s="114" t="s">
        <v>2830</v>
      </c>
      <c r="B172" s="112">
        <v>3</v>
      </c>
      <c r="C172" s="115">
        <v>0.00187878269744824</v>
      </c>
      <c r="D172" s="112" t="b">
        <v>0</v>
      </c>
      <c r="E172" s="112" t="b">
        <v>0</v>
      </c>
      <c r="F172" s="112" t="b">
        <v>0</v>
      </c>
      <c r="G172" s="112" t="s">
        <v>3521</v>
      </c>
    </row>
    <row r="173" spans="1:7" ht="15">
      <c r="A173" s="114" t="s">
        <v>2718</v>
      </c>
      <c r="B173" s="112">
        <v>3</v>
      </c>
      <c r="C173" s="115">
        <v>0.0017124496441840574</v>
      </c>
      <c r="D173" s="112" t="b">
        <v>1</v>
      </c>
      <c r="E173" s="112" t="b">
        <v>0</v>
      </c>
      <c r="F173" s="112" t="b">
        <v>0</v>
      </c>
      <c r="G173" s="112" t="s">
        <v>3521</v>
      </c>
    </row>
    <row r="174" spans="1:7" ht="15">
      <c r="A174" s="114" t="s">
        <v>2827</v>
      </c>
      <c r="B174" s="112">
        <v>3</v>
      </c>
      <c r="C174" s="115">
        <v>0.0017124496441840574</v>
      </c>
      <c r="D174" s="112" t="b">
        <v>0</v>
      </c>
      <c r="E174" s="112" t="b">
        <v>0</v>
      </c>
      <c r="F174" s="112" t="b">
        <v>0</v>
      </c>
      <c r="G174" s="112" t="s">
        <v>3521</v>
      </c>
    </row>
    <row r="175" spans="1:7" ht="15">
      <c r="A175" s="114" t="s">
        <v>2792</v>
      </c>
      <c r="B175" s="112">
        <v>3</v>
      </c>
      <c r="C175" s="115">
        <v>0.0017124496441840574</v>
      </c>
      <c r="D175" s="112" t="b">
        <v>0</v>
      </c>
      <c r="E175" s="112" t="b">
        <v>0</v>
      </c>
      <c r="F175" s="112" t="b">
        <v>0</v>
      </c>
      <c r="G175" s="112" t="s">
        <v>3521</v>
      </c>
    </row>
    <row r="176" spans="1:7" ht="15">
      <c r="A176" s="114" t="s">
        <v>2854</v>
      </c>
      <c r="B176" s="112">
        <v>3</v>
      </c>
      <c r="C176" s="115">
        <v>0.0017124496441840574</v>
      </c>
      <c r="D176" s="112" t="b">
        <v>0</v>
      </c>
      <c r="E176" s="112" t="b">
        <v>0</v>
      </c>
      <c r="F176" s="112" t="b">
        <v>0</v>
      </c>
      <c r="G176" s="112" t="s">
        <v>3521</v>
      </c>
    </row>
    <row r="177" spans="1:7" ht="15">
      <c r="A177" s="114" t="s">
        <v>2744</v>
      </c>
      <c r="B177" s="112">
        <v>3</v>
      </c>
      <c r="C177" s="115">
        <v>0.0017124496441840574</v>
      </c>
      <c r="D177" s="112" t="b">
        <v>0</v>
      </c>
      <c r="E177" s="112" t="b">
        <v>0</v>
      </c>
      <c r="F177" s="112" t="b">
        <v>0</v>
      </c>
      <c r="G177" s="112" t="s">
        <v>3521</v>
      </c>
    </row>
    <row r="178" spans="1:7" ht="15">
      <c r="A178" s="114" t="s">
        <v>2756</v>
      </c>
      <c r="B178" s="112">
        <v>3</v>
      </c>
      <c r="C178" s="115">
        <v>0.0017124496441840574</v>
      </c>
      <c r="D178" s="112" t="b">
        <v>0</v>
      </c>
      <c r="E178" s="112" t="b">
        <v>0</v>
      </c>
      <c r="F178" s="112" t="b">
        <v>0</v>
      </c>
      <c r="G178" s="112" t="s">
        <v>3521</v>
      </c>
    </row>
    <row r="179" spans="1:7" ht="15">
      <c r="A179" s="114" t="s">
        <v>2819</v>
      </c>
      <c r="B179" s="112">
        <v>3</v>
      </c>
      <c r="C179" s="115">
        <v>0.002163130930128323</v>
      </c>
      <c r="D179" s="112" t="b">
        <v>0</v>
      </c>
      <c r="E179" s="112" t="b">
        <v>0</v>
      </c>
      <c r="F179" s="112" t="b">
        <v>0</v>
      </c>
      <c r="G179" s="112" t="s">
        <v>3521</v>
      </c>
    </row>
    <row r="180" spans="1:7" ht="15">
      <c r="A180" s="114" t="s">
        <v>2797</v>
      </c>
      <c r="B180" s="112">
        <v>3</v>
      </c>
      <c r="C180" s="115">
        <v>0.0017124496441840574</v>
      </c>
      <c r="D180" s="112" t="b">
        <v>0</v>
      </c>
      <c r="E180" s="112" t="b">
        <v>0</v>
      </c>
      <c r="F180" s="112" t="b">
        <v>0</v>
      </c>
      <c r="G180" s="112" t="s">
        <v>3521</v>
      </c>
    </row>
    <row r="181" spans="1:7" ht="15">
      <c r="A181" s="114" t="s">
        <v>2851</v>
      </c>
      <c r="B181" s="112">
        <v>3</v>
      </c>
      <c r="C181" s="115">
        <v>0.0017124496441840574</v>
      </c>
      <c r="D181" s="112" t="b">
        <v>0</v>
      </c>
      <c r="E181" s="112" t="b">
        <v>0</v>
      </c>
      <c r="F181" s="112" t="b">
        <v>0</v>
      </c>
      <c r="G181" s="112" t="s">
        <v>3521</v>
      </c>
    </row>
    <row r="182" spans="1:7" ht="15">
      <c r="A182" s="114" t="s">
        <v>2749</v>
      </c>
      <c r="B182" s="112">
        <v>3</v>
      </c>
      <c r="C182" s="115">
        <v>0.0017124496441840574</v>
      </c>
      <c r="D182" s="112" t="b">
        <v>1</v>
      </c>
      <c r="E182" s="112" t="b">
        <v>0</v>
      </c>
      <c r="F182" s="112" t="b">
        <v>0</v>
      </c>
      <c r="G182" s="112" t="s">
        <v>3521</v>
      </c>
    </row>
    <row r="183" spans="1:7" ht="15">
      <c r="A183" s="114" t="s">
        <v>2847</v>
      </c>
      <c r="B183" s="112">
        <v>3</v>
      </c>
      <c r="C183" s="115">
        <v>0.0017124496441840574</v>
      </c>
      <c r="D183" s="112" t="b">
        <v>0</v>
      </c>
      <c r="E183" s="112" t="b">
        <v>0</v>
      </c>
      <c r="F183" s="112" t="b">
        <v>0</v>
      </c>
      <c r="G183" s="112" t="s">
        <v>3521</v>
      </c>
    </row>
    <row r="184" spans="1:7" ht="15">
      <c r="A184" s="114" t="s">
        <v>2860</v>
      </c>
      <c r="B184" s="112">
        <v>3</v>
      </c>
      <c r="C184" s="115">
        <v>0.00187878269744824</v>
      </c>
      <c r="D184" s="112" t="b">
        <v>0</v>
      </c>
      <c r="E184" s="112" t="b">
        <v>0</v>
      </c>
      <c r="F184" s="112" t="b">
        <v>0</v>
      </c>
      <c r="G184" s="112" t="s">
        <v>3521</v>
      </c>
    </row>
    <row r="185" spans="1:7" ht="15">
      <c r="A185" s="114" t="s">
        <v>2796</v>
      </c>
      <c r="B185" s="112">
        <v>3</v>
      </c>
      <c r="C185" s="115">
        <v>0.0017124496441840574</v>
      </c>
      <c r="D185" s="112" t="b">
        <v>0</v>
      </c>
      <c r="E185" s="112" t="b">
        <v>1</v>
      </c>
      <c r="F185" s="112" t="b">
        <v>0</v>
      </c>
      <c r="G185" s="112" t="s">
        <v>3521</v>
      </c>
    </row>
    <row r="186" spans="1:7" ht="15">
      <c r="A186" s="114" t="s">
        <v>2765</v>
      </c>
      <c r="B186" s="112">
        <v>3</v>
      </c>
      <c r="C186" s="115">
        <v>0.0017124496441840574</v>
      </c>
      <c r="D186" s="112" t="b">
        <v>0</v>
      </c>
      <c r="E186" s="112" t="b">
        <v>0</v>
      </c>
      <c r="F186" s="112" t="b">
        <v>0</v>
      </c>
      <c r="G186" s="112" t="s">
        <v>3521</v>
      </c>
    </row>
    <row r="187" spans="1:7" ht="15">
      <c r="A187" s="114" t="s">
        <v>2846</v>
      </c>
      <c r="B187" s="112">
        <v>3</v>
      </c>
      <c r="C187" s="115">
        <v>0.0017124496441840574</v>
      </c>
      <c r="D187" s="112" t="b">
        <v>0</v>
      </c>
      <c r="E187" s="112" t="b">
        <v>1</v>
      </c>
      <c r="F187" s="112" t="b">
        <v>0</v>
      </c>
      <c r="G187" s="112" t="s">
        <v>3521</v>
      </c>
    </row>
    <row r="188" spans="1:7" ht="15">
      <c r="A188" s="114" t="s">
        <v>2848</v>
      </c>
      <c r="B188" s="112">
        <v>3</v>
      </c>
      <c r="C188" s="115">
        <v>0.00187878269744824</v>
      </c>
      <c r="D188" s="112" t="b">
        <v>0</v>
      </c>
      <c r="E188" s="112" t="b">
        <v>0</v>
      </c>
      <c r="F188" s="112" t="b">
        <v>0</v>
      </c>
      <c r="G188" s="112" t="s">
        <v>3521</v>
      </c>
    </row>
    <row r="189" spans="1:7" ht="15">
      <c r="A189" s="114" t="s">
        <v>2785</v>
      </c>
      <c r="B189" s="112">
        <v>3</v>
      </c>
      <c r="C189" s="115">
        <v>0.00187878269744824</v>
      </c>
      <c r="D189" s="112" t="b">
        <v>0</v>
      </c>
      <c r="E189" s="112" t="b">
        <v>0</v>
      </c>
      <c r="F189" s="112" t="b">
        <v>0</v>
      </c>
      <c r="G189" s="112" t="s">
        <v>3521</v>
      </c>
    </row>
    <row r="190" spans="1:7" ht="15">
      <c r="A190" s="114" t="s">
        <v>2722</v>
      </c>
      <c r="B190" s="112">
        <v>3</v>
      </c>
      <c r="C190" s="115">
        <v>0.0017124496441840574</v>
      </c>
      <c r="D190" s="112" t="b">
        <v>0</v>
      </c>
      <c r="E190" s="112" t="b">
        <v>0</v>
      </c>
      <c r="F190" s="112" t="b">
        <v>0</v>
      </c>
      <c r="G190" s="112" t="s">
        <v>3521</v>
      </c>
    </row>
    <row r="191" spans="1:7" ht="15">
      <c r="A191" s="114" t="s">
        <v>2852</v>
      </c>
      <c r="B191" s="112">
        <v>3</v>
      </c>
      <c r="C191" s="115">
        <v>0.0017124496441840574</v>
      </c>
      <c r="D191" s="112" t="b">
        <v>0</v>
      </c>
      <c r="E191" s="112" t="b">
        <v>0</v>
      </c>
      <c r="F191" s="112" t="b">
        <v>0</v>
      </c>
      <c r="G191" s="112" t="s">
        <v>3521</v>
      </c>
    </row>
    <row r="192" spans="1:7" ht="15">
      <c r="A192" s="114" t="s">
        <v>394</v>
      </c>
      <c r="B192" s="112">
        <v>3</v>
      </c>
      <c r="C192" s="115">
        <v>0.0017124496441840574</v>
      </c>
      <c r="D192" s="112" t="b">
        <v>0</v>
      </c>
      <c r="E192" s="112" t="b">
        <v>0</v>
      </c>
      <c r="F192" s="112" t="b">
        <v>0</v>
      </c>
      <c r="G192" s="112" t="s">
        <v>3521</v>
      </c>
    </row>
    <row r="193" spans="1:7" ht="15">
      <c r="A193" s="114" t="s">
        <v>2753</v>
      </c>
      <c r="B193" s="112">
        <v>3</v>
      </c>
      <c r="C193" s="115">
        <v>0.0017124496441840574</v>
      </c>
      <c r="D193" s="112" t="b">
        <v>0</v>
      </c>
      <c r="E193" s="112" t="b">
        <v>0</v>
      </c>
      <c r="F193" s="112" t="b">
        <v>0</v>
      </c>
      <c r="G193" s="112" t="s">
        <v>3521</v>
      </c>
    </row>
    <row r="194" spans="1:7" ht="15">
      <c r="A194" s="114" t="s">
        <v>2808</v>
      </c>
      <c r="B194" s="112">
        <v>3</v>
      </c>
      <c r="C194" s="115">
        <v>0.0017124496441840574</v>
      </c>
      <c r="D194" s="112" t="b">
        <v>0</v>
      </c>
      <c r="E194" s="112" t="b">
        <v>0</v>
      </c>
      <c r="F194" s="112" t="b">
        <v>0</v>
      </c>
      <c r="G194" s="112" t="s">
        <v>3521</v>
      </c>
    </row>
    <row r="195" spans="1:7" ht="15">
      <c r="A195" s="114" t="s">
        <v>389</v>
      </c>
      <c r="B195" s="112">
        <v>3</v>
      </c>
      <c r="C195" s="115">
        <v>0.0017124496441840574</v>
      </c>
      <c r="D195" s="112" t="b">
        <v>0</v>
      </c>
      <c r="E195" s="112" t="b">
        <v>0</v>
      </c>
      <c r="F195" s="112" t="b">
        <v>0</v>
      </c>
      <c r="G195" s="112" t="s">
        <v>3521</v>
      </c>
    </row>
    <row r="196" spans="1:7" ht="15">
      <c r="A196" s="114" t="s">
        <v>2825</v>
      </c>
      <c r="B196" s="112">
        <v>3</v>
      </c>
      <c r="C196" s="115">
        <v>0.0017124496441840574</v>
      </c>
      <c r="D196" s="112" t="b">
        <v>0</v>
      </c>
      <c r="E196" s="112" t="b">
        <v>0</v>
      </c>
      <c r="F196" s="112" t="b">
        <v>0</v>
      </c>
      <c r="G196" s="112" t="s">
        <v>3521</v>
      </c>
    </row>
    <row r="197" spans="1:7" ht="15">
      <c r="A197" s="114" t="s">
        <v>2843</v>
      </c>
      <c r="B197" s="112">
        <v>3</v>
      </c>
      <c r="C197" s="115">
        <v>0.0017124496441840574</v>
      </c>
      <c r="D197" s="112" t="b">
        <v>1</v>
      </c>
      <c r="E197" s="112" t="b">
        <v>0</v>
      </c>
      <c r="F197" s="112" t="b">
        <v>0</v>
      </c>
      <c r="G197" s="112" t="s">
        <v>3521</v>
      </c>
    </row>
    <row r="198" spans="1:7" ht="15">
      <c r="A198" s="114" t="s">
        <v>2806</v>
      </c>
      <c r="B198" s="112">
        <v>3</v>
      </c>
      <c r="C198" s="115">
        <v>0.0017124496441840574</v>
      </c>
      <c r="D198" s="112" t="b">
        <v>0</v>
      </c>
      <c r="E198" s="112" t="b">
        <v>0</v>
      </c>
      <c r="F198" s="112" t="b">
        <v>0</v>
      </c>
      <c r="G198" s="112" t="s">
        <v>3521</v>
      </c>
    </row>
    <row r="199" spans="1:7" ht="15">
      <c r="A199" s="114" t="s">
        <v>2844</v>
      </c>
      <c r="B199" s="112">
        <v>3</v>
      </c>
      <c r="C199" s="115">
        <v>0.0017124496441840574</v>
      </c>
      <c r="D199" s="112" t="b">
        <v>1</v>
      </c>
      <c r="E199" s="112" t="b">
        <v>0</v>
      </c>
      <c r="F199" s="112" t="b">
        <v>0</v>
      </c>
      <c r="G199" s="112" t="s">
        <v>3521</v>
      </c>
    </row>
    <row r="200" spans="1:7" ht="15">
      <c r="A200" s="114" t="s">
        <v>2803</v>
      </c>
      <c r="B200" s="112">
        <v>3</v>
      </c>
      <c r="C200" s="115">
        <v>0.0017124496441840574</v>
      </c>
      <c r="D200" s="112" t="b">
        <v>1</v>
      </c>
      <c r="E200" s="112" t="b">
        <v>0</v>
      </c>
      <c r="F200" s="112" t="b">
        <v>0</v>
      </c>
      <c r="G200" s="112" t="s">
        <v>3521</v>
      </c>
    </row>
    <row r="201" spans="1:7" ht="15">
      <c r="A201" s="114" t="s">
        <v>2716</v>
      </c>
      <c r="B201" s="112">
        <v>3</v>
      </c>
      <c r="C201" s="115">
        <v>0.0017124496441840574</v>
      </c>
      <c r="D201" s="112" t="b">
        <v>0</v>
      </c>
      <c r="E201" s="112" t="b">
        <v>0</v>
      </c>
      <c r="F201" s="112" t="b">
        <v>0</v>
      </c>
      <c r="G201" s="112" t="s">
        <v>3521</v>
      </c>
    </row>
    <row r="202" spans="1:7" ht="15">
      <c r="A202" s="114" t="s">
        <v>2751</v>
      </c>
      <c r="B202" s="112">
        <v>3</v>
      </c>
      <c r="C202" s="115">
        <v>0.0017124496441840574</v>
      </c>
      <c r="D202" s="112" t="b">
        <v>0</v>
      </c>
      <c r="E202" s="112" t="b">
        <v>0</v>
      </c>
      <c r="F202" s="112" t="b">
        <v>0</v>
      </c>
      <c r="G202" s="112" t="s">
        <v>3521</v>
      </c>
    </row>
    <row r="203" spans="1:7" ht="15">
      <c r="A203" s="114" t="s">
        <v>2795</v>
      </c>
      <c r="B203" s="112">
        <v>3</v>
      </c>
      <c r="C203" s="115">
        <v>0.0017124496441840574</v>
      </c>
      <c r="D203" s="112" t="b">
        <v>0</v>
      </c>
      <c r="E203" s="112" t="b">
        <v>1</v>
      </c>
      <c r="F203" s="112" t="b">
        <v>0</v>
      </c>
      <c r="G203" s="112" t="s">
        <v>3521</v>
      </c>
    </row>
    <row r="204" spans="1:7" ht="15">
      <c r="A204" s="114" t="s">
        <v>2837</v>
      </c>
      <c r="B204" s="112">
        <v>3</v>
      </c>
      <c r="C204" s="115">
        <v>0.0017124496441840574</v>
      </c>
      <c r="D204" s="112" t="b">
        <v>0</v>
      </c>
      <c r="E204" s="112" t="b">
        <v>0</v>
      </c>
      <c r="F204" s="112" t="b">
        <v>0</v>
      </c>
      <c r="G204" s="112" t="s">
        <v>3521</v>
      </c>
    </row>
    <row r="205" spans="1:7" ht="15">
      <c r="A205" s="114" t="s">
        <v>2826</v>
      </c>
      <c r="B205" s="112">
        <v>3</v>
      </c>
      <c r="C205" s="115">
        <v>0.0017124496441840574</v>
      </c>
      <c r="D205" s="112" t="b">
        <v>0</v>
      </c>
      <c r="E205" s="112" t="b">
        <v>0</v>
      </c>
      <c r="F205" s="112" t="b">
        <v>0</v>
      </c>
      <c r="G205" s="112" t="s">
        <v>3521</v>
      </c>
    </row>
    <row r="206" spans="1:7" ht="15">
      <c r="A206" s="114" t="s">
        <v>2786</v>
      </c>
      <c r="B206" s="112">
        <v>3</v>
      </c>
      <c r="C206" s="115">
        <v>0.00187878269744824</v>
      </c>
      <c r="D206" s="112" t="b">
        <v>0</v>
      </c>
      <c r="E206" s="112" t="b">
        <v>0</v>
      </c>
      <c r="F206" s="112" t="b">
        <v>0</v>
      </c>
      <c r="G206" s="112" t="s">
        <v>3521</v>
      </c>
    </row>
    <row r="207" spans="1:7" ht="15">
      <c r="A207" s="114" t="s">
        <v>2696</v>
      </c>
      <c r="B207" s="112">
        <v>3</v>
      </c>
      <c r="C207" s="115">
        <v>0.0017124496441840574</v>
      </c>
      <c r="D207" s="112" t="b">
        <v>0</v>
      </c>
      <c r="E207" s="112" t="b">
        <v>0</v>
      </c>
      <c r="F207" s="112" t="b">
        <v>0</v>
      </c>
      <c r="G207" s="112" t="s">
        <v>3521</v>
      </c>
    </row>
    <row r="208" spans="1:7" ht="15">
      <c r="A208" s="114" t="s">
        <v>419</v>
      </c>
      <c r="B208" s="112">
        <v>3</v>
      </c>
      <c r="C208" s="115">
        <v>0.00187878269744824</v>
      </c>
      <c r="D208" s="112" t="b">
        <v>0</v>
      </c>
      <c r="E208" s="112" t="b">
        <v>0</v>
      </c>
      <c r="F208" s="112" t="b">
        <v>0</v>
      </c>
      <c r="G208" s="112" t="s">
        <v>3521</v>
      </c>
    </row>
    <row r="209" spans="1:7" ht="15">
      <c r="A209" s="114" t="s">
        <v>2816</v>
      </c>
      <c r="B209" s="112">
        <v>3</v>
      </c>
      <c r="C209" s="115">
        <v>0.0017124496441840574</v>
      </c>
      <c r="D209" s="112" t="b">
        <v>0</v>
      </c>
      <c r="E209" s="112" t="b">
        <v>0</v>
      </c>
      <c r="F209" s="112" t="b">
        <v>0</v>
      </c>
      <c r="G209" s="112" t="s">
        <v>3521</v>
      </c>
    </row>
    <row r="210" spans="1:7" ht="15">
      <c r="A210" s="114" t="s">
        <v>2713</v>
      </c>
      <c r="B210" s="112">
        <v>3</v>
      </c>
      <c r="C210" s="115">
        <v>0.0017124496441840574</v>
      </c>
      <c r="D210" s="112" t="b">
        <v>0</v>
      </c>
      <c r="E210" s="112" t="b">
        <v>0</v>
      </c>
      <c r="F210" s="112" t="b">
        <v>0</v>
      </c>
      <c r="G210" s="112" t="s">
        <v>3521</v>
      </c>
    </row>
    <row r="211" spans="1:7" ht="15">
      <c r="A211" s="114" t="s">
        <v>2801</v>
      </c>
      <c r="B211" s="112">
        <v>3</v>
      </c>
      <c r="C211" s="115">
        <v>0.0017124496441840574</v>
      </c>
      <c r="D211" s="112" t="b">
        <v>1</v>
      </c>
      <c r="E211" s="112" t="b">
        <v>0</v>
      </c>
      <c r="F211" s="112" t="b">
        <v>0</v>
      </c>
      <c r="G211" s="112" t="s">
        <v>3521</v>
      </c>
    </row>
    <row r="212" spans="1:7" ht="15">
      <c r="A212" s="114" t="s">
        <v>2741</v>
      </c>
      <c r="B212" s="112">
        <v>3</v>
      </c>
      <c r="C212" s="115">
        <v>0.0017124496441840574</v>
      </c>
      <c r="D212" s="112" t="b">
        <v>1</v>
      </c>
      <c r="E212" s="112" t="b">
        <v>0</v>
      </c>
      <c r="F212" s="112" t="b">
        <v>0</v>
      </c>
      <c r="G212" s="112" t="s">
        <v>3521</v>
      </c>
    </row>
    <row r="213" spans="1:7" ht="15">
      <c r="A213" s="114" t="s">
        <v>2784</v>
      </c>
      <c r="B213" s="112">
        <v>3</v>
      </c>
      <c r="C213" s="115">
        <v>0.0017124496441840574</v>
      </c>
      <c r="D213" s="112" t="b">
        <v>1</v>
      </c>
      <c r="E213" s="112" t="b">
        <v>0</v>
      </c>
      <c r="F213" s="112" t="b">
        <v>0</v>
      </c>
      <c r="G213" s="112" t="s">
        <v>3521</v>
      </c>
    </row>
    <row r="214" spans="1:7" ht="15">
      <c r="A214" s="114" t="s">
        <v>2832</v>
      </c>
      <c r="B214" s="112">
        <v>3</v>
      </c>
      <c r="C214" s="115">
        <v>0.002163130930128323</v>
      </c>
      <c r="D214" s="112" t="b">
        <v>0</v>
      </c>
      <c r="E214" s="112" t="b">
        <v>0</v>
      </c>
      <c r="F214" s="112" t="b">
        <v>0</v>
      </c>
      <c r="G214" s="112" t="s">
        <v>3521</v>
      </c>
    </row>
    <row r="215" spans="1:7" ht="15">
      <c r="A215" s="114" t="s">
        <v>2804</v>
      </c>
      <c r="B215" s="112">
        <v>3</v>
      </c>
      <c r="C215" s="115">
        <v>0.00187878269744824</v>
      </c>
      <c r="D215" s="112" t="b">
        <v>1</v>
      </c>
      <c r="E215" s="112" t="b">
        <v>0</v>
      </c>
      <c r="F215" s="112" t="b">
        <v>0</v>
      </c>
      <c r="G215" s="112" t="s">
        <v>3521</v>
      </c>
    </row>
    <row r="216" spans="1:7" ht="15">
      <c r="A216" s="114" t="s">
        <v>2841</v>
      </c>
      <c r="B216" s="112">
        <v>3</v>
      </c>
      <c r="C216" s="115">
        <v>0.00187878269744824</v>
      </c>
      <c r="D216" s="112" t="b">
        <v>0</v>
      </c>
      <c r="E216" s="112" t="b">
        <v>0</v>
      </c>
      <c r="F216" s="112" t="b">
        <v>0</v>
      </c>
      <c r="G216" s="112" t="s">
        <v>3521</v>
      </c>
    </row>
    <row r="217" spans="1:7" ht="15">
      <c r="A217" s="114" t="s">
        <v>2783</v>
      </c>
      <c r="B217" s="112">
        <v>3</v>
      </c>
      <c r="C217" s="115">
        <v>0.00187878269744824</v>
      </c>
      <c r="D217" s="112" t="b">
        <v>0</v>
      </c>
      <c r="E217" s="112" t="b">
        <v>1</v>
      </c>
      <c r="F217" s="112" t="b">
        <v>0</v>
      </c>
      <c r="G217" s="112" t="s">
        <v>3521</v>
      </c>
    </row>
    <row r="218" spans="1:7" ht="15">
      <c r="A218" s="114" t="s">
        <v>288</v>
      </c>
      <c r="B218" s="112">
        <v>3</v>
      </c>
      <c r="C218" s="115">
        <v>0.0017124496441840574</v>
      </c>
      <c r="D218" s="112" t="b">
        <v>0</v>
      </c>
      <c r="E218" s="112" t="b">
        <v>0</v>
      </c>
      <c r="F218" s="112" t="b">
        <v>0</v>
      </c>
      <c r="G218" s="112" t="s">
        <v>3521</v>
      </c>
    </row>
    <row r="219" spans="1:7" ht="15">
      <c r="A219" s="114" t="s">
        <v>2821</v>
      </c>
      <c r="B219" s="112">
        <v>3</v>
      </c>
      <c r="C219" s="115">
        <v>0.0017124496441840574</v>
      </c>
      <c r="D219" s="112" t="b">
        <v>1</v>
      </c>
      <c r="E219" s="112" t="b">
        <v>0</v>
      </c>
      <c r="F219" s="112" t="b">
        <v>0</v>
      </c>
      <c r="G219" s="112" t="s">
        <v>3521</v>
      </c>
    </row>
    <row r="220" spans="1:7" ht="15">
      <c r="A220" s="114" t="s">
        <v>2790</v>
      </c>
      <c r="B220" s="112">
        <v>3</v>
      </c>
      <c r="C220" s="115">
        <v>0.0017124496441840574</v>
      </c>
      <c r="D220" s="112" t="b">
        <v>0</v>
      </c>
      <c r="E220" s="112" t="b">
        <v>1</v>
      </c>
      <c r="F220" s="112" t="b">
        <v>0</v>
      </c>
      <c r="G220" s="112" t="s">
        <v>3521</v>
      </c>
    </row>
    <row r="221" spans="1:7" ht="15">
      <c r="A221" s="114" t="s">
        <v>328</v>
      </c>
      <c r="B221" s="112">
        <v>3</v>
      </c>
      <c r="C221" s="115">
        <v>0.0017124496441840574</v>
      </c>
      <c r="D221" s="112" t="b">
        <v>0</v>
      </c>
      <c r="E221" s="112" t="b">
        <v>0</v>
      </c>
      <c r="F221" s="112" t="b">
        <v>0</v>
      </c>
      <c r="G221" s="112" t="s">
        <v>3521</v>
      </c>
    </row>
    <row r="222" spans="1:7" ht="15">
      <c r="A222" s="114" t="s">
        <v>2871</v>
      </c>
      <c r="B222" s="112">
        <v>2</v>
      </c>
      <c r="C222" s="115">
        <v>0.0012525217982988267</v>
      </c>
      <c r="D222" s="112" t="b">
        <v>0</v>
      </c>
      <c r="E222" s="112" t="b">
        <v>0</v>
      </c>
      <c r="F222" s="112" t="b">
        <v>0</v>
      </c>
      <c r="G222" s="112" t="s">
        <v>3521</v>
      </c>
    </row>
    <row r="223" spans="1:7" ht="15">
      <c r="A223" s="114" t="s">
        <v>2920</v>
      </c>
      <c r="B223" s="112">
        <v>2</v>
      </c>
      <c r="C223" s="115">
        <v>0.0014420872867522152</v>
      </c>
      <c r="D223" s="112" t="b">
        <v>0</v>
      </c>
      <c r="E223" s="112" t="b">
        <v>0</v>
      </c>
      <c r="F223" s="112" t="b">
        <v>0</v>
      </c>
      <c r="G223" s="112" t="s">
        <v>3521</v>
      </c>
    </row>
    <row r="224" spans="1:7" ht="15">
      <c r="A224" s="114" t="s">
        <v>2998</v>
      </c>
      <c r="B224" s="112">
        <v>2</v>
      </c>
      <c r="C224" s="115">
        <v>0.0012525217982988267</v>
      </c>
      <c r="D224" s="112" t="b">
        <v>0</v>
      </c>
      <c r="E224" s="112" t="b">
        <v>0</v>
      </c>
      <c r="F224" s="112" t="b">
        <v>0</v>
      </c>
      <c r="G224" s="112" t="s">
        <v>3521</v>
      </c>
    </row>
    <row r="225" spans="1:7" ht="15">
      <c r="A225" s="114" t="s">
        <v>388</v>
      </c>
      <c r="B225" s="112">
        <v>2</v>
      </c>
      <c r="C225" s="115">
        <v>0.0012525217982988267</v>
      </c>
      <c r="D225" s="112" t="b">
        <v>0</v>
      </c>
      <c r="E225" s="112" t="b">
        <v>0</v>
      </c>
      <c r="F225" s="112" t="b">
        <v>0</v>
      </c>
      <c r="G225" s="112" t="s">
        <v>3521</v>
      </c>
    </row>
    <row r="226" spans="1:7" ht="15">
      <c r="A226" s="114" t="s">
        <v>3010</v>
      </c>
      <c r="B226" s="112">
        <v>2</v>
      </c>
      <c r="C226" s="115">
        <v>0.0012525217982988267</v>
      </c>
      <c r="D226" s="112" t="b">
        <v>0</v>
      </c>
      <c r="E226" s="112" t="b">
        <v>0</v>
      </c>
      <c r="F226" s="112" t="b">
        <v>0</v>
      </c>
      <c r="G226" s="112" t="s">
        <v>3521</v>
      </c>
    </row>
    <row r="227" spans="1:7" ht="15">
      <c r="A227" s="114" t="s">
        <v>3024</v>
      </c>
      <c r="B227" s="112">
        <v>2</v>
      </c>
      <c r="C227" s="115">
        <v>0.0014420872867522152</v>
      </c>
      <c r="D227" s="112" t="b">
        <v>0</v>
      </c>
      <c r="E227" s="112" t="b">
        <v>0</v>
      </c>
      <c r="F227" s="112" t="b">
        <v>0</v>
      </c>
      <c r="G227" s="112" t="s">
        <v>3521</v>
      </c>
    </row>
    <row r="228" spans="1:7" ht="15">
      <c r="A228" s="114" t="s">
        <v>2823</v>
      </c>
      <c r="B228" s="112">
        <v>2</v>
      </c>
      <c r="C228" s="115">
        <v>0.0012525217982988267</v>
      </c>
      <c r="D228" s="112" t="b">
        <v>1</v>
      </c>
      <c r="E228" s="112" t="b">
        <v>0</v>
      </c>
      <c r="F228" s="112" t="b">
        <v>0</v>
      </c>
      <c r="G228" s="112" t="s">
        <v>3521</v>
      </c>
    </row>
    <row r="229" spans="1:7" ht="15">
      <c r="A229" s="114" t="s">
        <v>2927</v>
      </c>
      <c r="B229" s="112">
        <v>2</v>
      </c>
      <c r="C229" s="115">
        <v>0.0012525217982988267</v>
      </c>
      <c r="D229" s="112" t="b">
        <v>0</v>
      </c>
      <c r="E229" s="112" t="b">
        <v>0</v>
      </c>
      <c r="F229" s="112" t="b">
        <v>0</v>
      </c>
      <c r="G229" s="112" t="s">
        <v>3521</v>
      </c>
    </row>
    <row r="230" spans="1:7" ht="15">
      <c r="A230" s="114" t="s">
        <v>3008</v>
      </c>
      <c r="B230" s="112">
        <v>2</v>
      </c>
      <c r="C230" s="115">
        <v>0.0012525217982988267</v>
      </c>
      <c r="D230" s="112" t="b">
        <v>0</v>
      </c>
      <c r="E230" s="112" t="b">
        <v>0</v>
      </c>
      <c r="F230" s="112" t="b">
        <v>0</v>
      </c>
      <c r="G230" s="112" t="s">
        <v>3521</v>
      </c>
    </row>
    <row r="231" spans="1:7" ht="15">
      <c r="A231" s="114" t="s">
        <v>2866</v>
      </c>
      <c r="B231" s="112">
        <v>2</v>
      </c>
      <c r="C231" s="115">
        <v>0.0014420872867522152</v>
      </c>
      <c r="D231" s="112" t="b">
        <v>0</v>
      </c>
      <c r="E231" s="112" t="b">
        <v>0</v>
      </c>
      <c r="F231" s="112" t="b">
        <v>0</v>
      </c>
      <c r="G231" s="112" t="s">
        <v>3521</v>
      </c>
    </row>
    <row r="232" spans="1:7" ht="15">
      <c r="A232" s="114" t="s">
        <v>2948</v>
      </c>
      <c r="B232" s="112">
        <v>2</v>
      </c>
      <c r="C232" s="115">
        <v>0.0012525217982988267</v>
      </c>
      <c r="D232" s="112" t="b">
        <v>0</v>
      </c>
      <c r="E232" s="112" t="b">
        <v>0</v>
      </c>
      <c r="F232" s="112" t="b">
        <v>0</v>
      </c>
      <c r="G232" s="112" t="s">
        <v>3521</v>
      </c>
    </row>
    <row r="233" spans="1:7" ht="15">
      <c r="A233" s="114" t="s">
        <v>2859</v>
      </c>
      <c r="B233" s="112">
        <v>2</v>
      </c>
      <c r="C233" s="115">
        <v>0.0012525217982988267</v>
      </c>
      <c r="D233" s="112" t="b">
        <v>0</v>
      </c>
      <c r="E233" s="112" t="b">
        <v>0</v>
      </c>
      <c r="F233" s="112" t="b">
        <v>0</v>
      </c>
      <c r="G233" s="112" t="s">
        <v>3521</v>
      </c>
    </row>
    <row r="234" spans="1:7" ht="15">
      <c r="A234" s="114" t="s">
        <v>2858</v>
      </c>
      <c r="B234" s="112">
        <v>2</v>
      </c>
      <c r="C234" s="115">
        <v>0.0012525217982988267</v>
      </c>
      <c r="D234" s="112" t="b">
        <v>0</v>
      </c>
      <c r="E234" s="112" t="b">
        <v>0</v>
      </c>
      <c r="F234" s="112" t="b">
        <v>0</v>
      </c>
      <c r="G234" s="112" t="s">
        <v>3521</v>
      </c>
    </row>
    <row r="235" spans="1:7" ht="15">
      <c r="A235" s="114" t="s">
        <v>2996</v>
      </c>
      <c r="B235" s="112">
        <v>2</v>
      </c>
      <c r="C235" s="115">
        <v>0.0012525217982988267</v>
      </c>
      <c r="D235" s="112" t="b">
        <v>1</v>
      </c>
      <c r="E235" s="112" t="b">
        <v>0</v>
      </c>
      <c r="F235" s="112" t="b">
        <v>0</v>
      </c>
      <c r="G235" s="112" t="s">
        <v>3521</v>
      </c>
    </row>
    <row r="236" spans="1:7" ht="15">
      <c r="A236" s="114" t="s">
        <v>2961</v>
      </c>
      <c r="B236" s="112">
        <v>2</v>
      </c>
      <c r="C236" s="115">
        <v>0.0012525217982988267</v>
      </c>
      <c r="D236" s="112" t="b">
        <v>0</v>
      </c>
      <c r="E236" s="112" t="b">
        <v>0</v>
      </c>
      <c r="F236" s="112" t="b">
        <v>0</v>
      </c>
      <c r="G236" s="112" t="s">
        <v>3521</v>
      </c>
    </row>
    <row r="237" spans="1:7" ht="15">
      <c r="A237" s="114" t="s">
        <v>2815</v>
      </c>
      <c r="B237" s="112">
        <v>2</v>
      </c>
      <c r="C237" s="115">
        <v>0.0012525217982988267</v>
      </c>
      <c r="D237" s="112" t="b">
        <v>0</v>
      </c>
      <c r="E237" s="112" t="b">
        <v>0</v>
      </c>
      <c r="F237" s="112" t="b">
        <v>0</v>
      </c>
      <c r="G237" s="112" t="s">
        <v>3521</v>
      </c>
    </row>
    <row r="238" spans="1:7" ht="15">
      <c r="A238" s="114" t="s">
        <v>2466</v>
      </c>
      <c r="B238" s="112">
        <v>2</v>
      </c>
      <c r="C238" s="115">
        <v>0.0012525217982988267</v>
      </c>
      <c r="D238" s="112" t="b">
        <v>0</v>
      </c>
      <c r="E238" s="112" t="b">
        <v>0</v>
      </c>
      <c r="F238" s="112" t="b">
        <v>0</v>
      </c>
      <c r="G238" s="112" t="s">
        <v>3521</v>
      </c>
    </row>
    <row r="239" spans="1:7" ht="15">
      <c r="A239" s="114" t="s">
        <v>2890</v>
      </c>
      <c r="B239" s="112">
        <v>2</v>
      </c>
      <c r="C239" s="115">
        <v>0.0012525217982988267</v>
      </c>
      <c r="D239" s="112" t="b">
        <v>0</v>
      </c>
      <c r="E239" s="112" t="b">
        <v>0</v>
      </c>
      <c r="F239" s="112" t="b">
        <v>0</v>
      </c>
      <c r="G239" s="112" t="s">
        <v>3521</v>
      </c>
    </row>
    <row r="240" spans="1:7" ht="15">
      <c r="A240" s="114" t="s">
        <v>2984</v>
      </c>
      <c r="B240" s="112">
        <v>2</v>
      </c>
      <c r="C240" s="115">
        <v>0.0012525217982988267</v>
      </c>
      <c r="D240" s="112" t="b">
        <v>0</v>
      </c>
      <c r="E240" s="112" t="b">
        <v>1</v>
      </c>
      <c r="F240" s="112" t="b">
        <v>0</v>
      </c>
      <c r="G240" s="112" t="s">
        <v>3521</v>
      </c>
    </row>
    <row r="241" spans="1:7" ht="15">
      <c r="A241" s="114" t="s">
        <v>2900</v>
      </c>
      <c r="B241" s="112">
        <v>2</v>
      </c>
      <c r="C241" s="115">
        <v>0.0012525217982988267</v>
      </c>
      <c r="D241" s="112" t="b">
        <v>0</v>
      </c>
      <c r="E241" s="112" t="b">
        <v>0</v>
      </c>
      <c r="F241" s="112" t="b">
        <v>0</v>
      </c>
      <c r="G241" s="112" t="s">
        <v>3521</v>
      </c>
    </row>
    <row r="242" spans="1:7" ht="15">
      <c r="A242" s="114" t="s">
        <v>354</v>
      </c>
      <c r="B242" s="112">
        <v>2</v>
      </c>
      <c r="C242" s="115">
        <v>0.0012525217982988267</v>
      </c>
      <c r="D242" s="112" t="b">
        <v>0</v>
      </c>
      <c r="E242" s="112" t="b">
        <v>0</v>
      </c>
      <c r="F242" s="112" t="b">
        <v>0</v>
      </c>
      <c r="G242" s="112" t="s">
        <v>3521</v>
      </c>
    </row>
    <row r="243" spans="1:7" ht="15">
      <c r="A243" s="114" t="s">
        <v>2976</v>
      </c>
      <c r="B243" s="112">
        <v>2</v>
      </c>
      <c r="C243" s="115">
        <v>0.0014420872867522152</v>
      </c>
      <c r="D243" s="112" t="b">
        <v>0</v>
      </c>
      <c r="E243" s="112" t="b">
        <v>0</v>
      </c>
      <c r="F243" s="112" t="b">
        <v>0</v>
      </c>
      <c r="G243" s="112" t="s">
        <v>3521</v>
      </c>
    </row>
    <row r="244" spans="1:7" ht="15">
      <c r="A244" s="114" t="s">
        <v>2820</v>
      </c>
      <c r="B244" s="112">
        <v>2</v>
      </c>
      <c r="C244" s="115">
        <v>0.0012525217982988267</v>
      </c>
      <c r="D244" s="112" t="b">
        <v>0</v>
      </c>
      <c r="E244" s="112" t="b">
        <v>0</v>
      </c>
      <c r="F244" s="112" t="b">
        <v>0</v>
      </c>
      <c r="G244" s="112" t="s">
        <v>3521</v>
      </c>
    </row>
    <row r="245" spans="1:7" ht="15">
      <c r="A245" s="114" t="s">
        <v>3015</v>
      </c>
      <c r="B245" s="112">
        <v>2</v>
      </c>
      <c r="C245" s="115">
        <v>0.0014420872867522152</v>
      </c>
      <c r="D245" s="112" t="b">
        <v>0</v>
      </c>
      <c r="E245" s="112" t="b">
        <v>0</v>
      </c>
      <c r="F245" s="112" t="b">
        <v>0</v>
      </c>
      <c r="G245" s="112" t="s">
        <v>3521</v>
      </c>
    </row>
    <row r="246" spans="1:7" ht="15">
      <c r="A246" s="114" t="s">
        <v>3014</v>
      </c>
      <c r="B246" s="112">
        <v>2</v>
      </c>
      <c r="C246" s="115">
        <v>0.0012525217982988267</v>
      </c>
      <c r="D246" s="112" t="b">
        <v>0</v>
      </c>
      <c r="E246" s="112" t="b">
        <v>1</v>
      </c>
      <c r="F246" s="112" t="b">
        <v>0</v>
      </c>
      <c r="G246" s="112" t="s">
        <v>3521</v>
      </c>
    </row>
    <row r="247" spans="1:7" ht="15">
      <c r="A247" s="114" t="s">
        <v>2812</v>
      </c>
      <c r="B247" s="112">
        <v>2</v>
      </c>
      <c r="C247" s="115">
        <v>0.0012525217982988267</v>
      </c>
      <c r="D247" s="112" t="b">
        <v>0</v>
      </c>
      <c r="E247" s="112" t="b">
        <v>0</v>
      </c>
      <c r="F247" s="112" t="b">
        <v>0</v>
      </c>
      <c r="G247" s="112" t="s">
        <v>3521</v>
      </c>
    </row>
    <row r="248" spans="1:7" ht="15">
      <c r="A248" s="114" t="s">
        <v>424</v>
      </c>
      <c r="B248" s="112">
        <v>2</v>
      </c>
      <c r="C248" s="115">
        <v>0.0014420872867522152</v>
      </c>
      <c r="D248" s="112" t="b">
        <v>0</v>
      </c>
      <c r="E248" s="112" t="b">
        <v>0</v>
      </c>
      <c r="F248" s="112" t="b">
        <v>0</v>
      </c>
      <c r="G248" s="112" t="s">
        <v>3521</v>
      </c>
    </row>
    <row r="249" spans="1:7" ht="15">
      <c r="A249" s="114" t="s">
        <v>2880</v>
      </c>
      <c r="B249" s="112">
        <v>2</v>
      </c>
      <c r="C249" s="115">
        <v>0.0014420872867522152</v>
      </c>
      <c r="D249" s="112" t="b">
        <v>0</v>
      </c>
      <c r="E249" s="112" t="b">
        <v>1</v>
      </c>
      <c r="F249" s="112" t="b">
        <v>0</v>
      </c>
      <c r="G249" s="112" t="s">
        <v>3521</v>
      </c>
    </row>
    <row r="250" spans="1:7" ht="15">
      <c r="A250" s="114" t="s">
        <v>2959</v>
      </c>
      <c r="B250" s="112">
        <v>2</v>
      </c>
      <c r="C250" s="115">
        <v>0.0012525217982988267</v>
      </c>
      <c r="D250" s="112" t="b">
        <v>0</v>
      </c>
      <c r="E250" s="112" t="b">
        <v>0</v>
      </c>
      <c r="F250" s="112" t="b">
        <v>0</v>
      </c>
      <c r="G250" s="112" t="s">
        <v>3521</v>
      </c>
    </row>
    <row r="251" spans="1:7" ht="15">
      <c r="A251" s="114" t="s">
        <v>2824</v>
      </c>
      <c r="B251" s="112">
        <v>2</v>
      </c>
      <c r="C251" s="115">
        <v>0.0012525217982988267</v>
      </c>
      <c r="D251" s="112" t="b">
        <v>0</v>
      </c>
      <c r="E251" s="112" t="b">
        <v>0</v>
      </c>
      <c r="F251" s="112" t="b">
        <v>0</v>
      </c>
      <c r="G251" s="112" t="s">
        <v>3521</v>
      </c>
    </row>
    <row r="252" spans="1:7" ht="15">
      <c r="A252" s="114" t="s">
        <v>2771</v>
      </c>
      <c r="B252" s="112">
        <v>2</v>
      </c>
      <c r="C252" s="115">
        <v>0.0012525217982988267</v>
      </c>
      <c r="D252" s="112" t="b">
        <v>0</v>
      </c>
      <c r="E252" s="112" t="b">
        <v>0</v>
      </c>
      <c r="F252" s="112" t="b">
        <v>0</v>
      </c>
      <c r="G252" s="112" t="s">
        <v>3521</v>
      </c>
    </row>
    <row r="253" spans="1:7" ht="15">
      <c r="A253" s="114" t="s">
        <v>2972</v>
      </c>
      <c r="B253" s="112">
        <v>2</v>
      </c>
      <c r="C253" s="115">
        <v>0.0014420872867522152</v>
      </c>
      <c r="D253" s="112" t="b">
        <v>0</v>
      </c>
      <c r="E253" s="112" t="b">
        <v>0</v>
      </c>
      <c r="F253" s="112" t="b">
        <v>0</v>
      </c>
      <c r="G253" s="112" t="s">
        <v>3521</v>
      </c>
    </row>
    <row r="254" spans="1:7" ht="15">
      <c r="A254" s="114" t="s">
        <v>2747</v>
      </c>
      <c r="B254" s="112">
        <v>2</v>
      </c>
      <c r="C254" s="115">
        <v>0.0012525217982988267</v>
      </c>
      <c r="D254" s="112" t="b">
        <v>0</v>
      </c>
      <c r="E254" s="112" t="b">
        <v>0</v>
      </c>
      <c r="F254" s="112" t="b">
        <v>0</v>
      </c>
      <c r="G254" s="112" t="s">
        <v>3521</v>
      </c>
    </row>
    <row r="255" spans="1:7" ht="15">
      <c r="A255" s="114" t="s">
        <v>2807</v>
      </c>
      <c r="B255" s="112">
        <v>2</v>
      </c>
      <c r="C255" s="115">
        <v>0.0012525217982988267</v>
      </c>
      <c r="D255" s="112" t="b">
        <v>0</v>
      </c>
      <c r="E255" s="112" t="b">
        <v>0</v>
      </c>
      <c r="F255" s="112" t="b">
        <v>0</v>
      </c>
      <c r="G255" s="112" t="s">
        <v>3521</v>
      </c>
    </row>
    <row r="256" spans="1:7" ht="15">
      <c r="A256" s="114" t="s">
        <v>2916</v>
      </c>
      <c r="B256" s="112">
        <v>2</v>
      </c>
      <c r="C256" s="115">
        <v>0.0014420872867522152</v>
      </c>
      <c r="D256" s="112" t="b">
        <v>1</v>
      </c>
      <c r="E256" s="112" t="b">
        <v>0</v>
      </c>
      <c r="F256" s="112" t="b">
        <v>0</v>
      </c>
      <c r="G256" s="112" t="s">
        <v>3521</v>
      </c>
    </row>
    <row r="257" spans="1:7" ht="15">
      <c r="A257" s="114" t="s">
        <v>3020</v>
      </c>
      <c r="B257" s="112">
        <v>2</v>
      </c>
      <c r="C257" s="115">
        <v>0.0012525217982988267</v>
      </c>
      <c r="D257" s="112" t="b">
        <v>0</v>
      </c>
      <c r="E257" s="112" t="b">
        <v>0</v>
      </c>
      <c r="F257" s="112" t="b">
        <v>0</v>
      </c>
      <c r="G257" s="112" t="s">
        <v>3521</v>
      </c>
    </row>
    <row r="258" spans="1:7" ht="15">
      <c r="A258" s="114" t="s">
        <v>2946</v>
      </c>
      <c r="B258" s="112">
        <v>2</v>
      </c>
      <c r="C258" s="115">
        <v>0.0012525217982988267</v>
      </c>
      <c r="D258" s="112" t="b">
        <v>0</v>
      </c>
      <c r="E258" s="112" t="b">
        <v>0</v>
      </c>
      <c r="F258" s="112" t="b">
        <v>0</v>
      </c>
      <c r="G258" s="112" t="s">
        <v>3521</v>
      </c>
    </row>
    <row r="259" spans="1:7" ht="15">
      <c r="A259" s="114" t="s">
        <v>2941</v>
      </c>
      <c r="B259" s="112">
        <v>2</v>
      </c>
      <c r="C259" s="115">
        <v>0.0012525217982988267</v>
      </c>
      <c r="D259" s="112" t="b">
        <v>0</v>
      </c>
      <c r="E259" s="112" t="b">
        <v>0</v>
      </c>
      <c r="F259" s="112" t="b">
        <v>0</v>
      </c>
      <c r="G259" s="112" t="s">
        <v>3521</v>
      </c>
    </row>
    <row r="260" spans="1:7" ht="15">
      <c r="A260" s="114" t="s">
        <v>3023</v>
      </c>
      <c r="B260" s="112">
        <v>2</v>
      </c>
      <c r="C260" s="115">
        <v>0.0012525217982988267</v>
      </c>
      <c r="D260" s="112" t="b">
        <v>0</v>
      </c>
      <c r="E260" s="112" t="b">
        <v>0</v>
      </c>
      <c r="F260" s="112" t="b">
        <v>0</v>
      </c>
      <c r="G260" s="112" t="s">
        <v>3521</v>
      </c>
    </row>
    <row r="261" spans="1:7" ht="15">
      <c r="A261" s="114" t="s">
        <v>2993</v>
      </c>
      <c r="B261" s="112">
        <v>2</v>
      </c>
      <c r="C261" s="115">
        <v>0.0012525217982988267</v>
      </c>
      <c r="D261" s="112" t="b">
        <v>0</v>
      </c>
      <c r="E261" s="112" t="b">
        <v>0</v>
      </c>
      <c r="F261" s="112" t="b">
        <v>0</v>
      </c>
      <c r="G261" s="112" t="s">
        <v>3521</v>
      </c>
    </row>
    <row r="262" spans="1:7" ht="15">
      <c r="A262" s="114" t="s">
        <v>2793</v>
      </c>
      <c r="B262" s="112">
        <v>2</v>
      </c>
      <c r="C262" s="115">
        <v>0.0012525217982988267</v>
      </c>
      <c r="D262" s="112" t="b">
        <v>0</v>
      </c>
      <c r="E262" s="112" t="b">
        <v>0</v>
      </c>
      <c r="F262" s="112" t="b">
        <v>0</v>
      </c>
      <c r="G262" s="112" t="s">
        <v>3521</v>
      </c>
    </row>
    <row r="263" spans="1:7" ht="15">
      <c r="A263" s="114" t="s">
        <v>2872</v>
      </c>
      <c r="B263" s="112">
        <v>2</v>
      </c>
      <c r="C263" s="115">
        <v>0.0012525217982988267</v>
      </c>
      <c r="D263" s="112" t="b">
        <v>0</v>
      </c>
      <c r="E263" s="112" t="b">
        <v>0</v>
      </c>
      <c r="F263" s="112" t="b">
        <v>0</v>
      </c>
      <c r="G263" s="112" t="s">
        <v>3521</v>
      </c>
    </row>
    <row r="264" spans="1:7" ht="15">
      <c r="A264" s="114" t="s">
        <v>2876</v>
      </c>
      <c r="B264" s="112">
        <v>2</v>
      </c>
      <c r="C264" s="115">
        <v>0.0012525217982988267</v>
      </c>
      <c r="D264" s="112" t="b">
        <v>0</v>
      </c>
      <c r="E264" s="112" t="b">
        <v>0</v>
      </c>
      <c r="F264" s="112" t="b">
        <v>0</v>
      </c>
      <c r="G264" s="112" t="s">
        <v>3521</v>
      </c>
    </row>
    <row r="265" spans="1:7" ht="15">
      <c r="A265" s="114" t="s">
        <v>2960</v>
      </c>
      <c r="B265" s="112">
        <v>2</v>
      </c>
      <c r="C265" s="115">
        <v>0.0012525217982988267</v>
      </c>
      <c r="D265" s="112" t="b">
        <v>1</v>
      </c>
      <c r="E265" s="112" t="b">
        <v>0</v>
      </c>
      <c r="F265" s="112" t="b">
        <v>0</v>
      </c>
      <c r="G265" s="112" t="s">
        <v>3521</v>
      </c>
    </row>
    <row r="266" spans="1:7" ht="15">
      <c r="A266" s="114" t="s">
        <v>2980</v>
      </c>
      <c r="B266" s="112">
        <v>2</v>
      </c>
      <c r="C266" s="115">
        <v>0.0012525217982988267</v>
      </c>
      <c r="D266" s="112" t="b">
        <v>0</v>
      </c>
      <c r="E266" s="112" t="b">
        <v>0</v>
      </c>
      <c r="F266" s="112" t="b">
        <v>0</v>
      </c>
      <c r="G266" s="112" t="s">
        <v>3521</v>
      </c>
    </row>
    <row r="267" spans="1:7" ht="15">
      <c r="A267" s="114" t="s">
        <v>2902</v>
      </c>
      <c r="B267" s="112">
        <v>2</v>
      </c>
      <c r="C267" s="115">
        <v>0.0012525217982988267</v>
      </c>
      <c r="D267" s="112" t="b">
        <v>0</v>
      </c>
      <c r="E267" s="112" t="b">
        <v>0</v>
      </c>
      <c r="F267" s="112" t="b">
        <v>0</v>
      </c>
      <c r="G267" s="112" t="s">
        <v>3521</v>
      </c>
    </row>
    <row r="268" spans="1:7" ht="15">
      <c r="A268" s="114" t="s">
        <v>2978</v>
      </c>
      <c r="B268" s="112">
        <v>2</v>
      </c>
      <c r="C268" s="115">
        <v>0.0014420872867522152</v>
      </c>
      <c r="D268" s="112" t="b">
        <v>0</v>
      </c>
      <c r="E268" s="112" t="b">
        <v>0</v>
      </c>
      <c r="F268" s="112" t="b">
        <v>0</v>
      </c>
      <c r="G268" s="112" t="s">
        <v>3521</v>
      </c>
    </row>
    <row r="269" spans="1:7" ht="15">
      <c r="A269" s="114" t="s">
        <v>2810</v>
      </c>
      <c r="B269" s="112">
        <v>2</v>
      </c>
      <c r="C269" s="115">
        <v>0.0014420872867522152</v>
      </c>
      <c r="D269" s="112" t="b">
        <v>0</v>
      </c>
      <c r="E269" s="112" t="b">
        <v>0</v>
      </c>
      <c r="F269" s="112" t="b">
        <v>0</v>
      </c>
      <c r="G269" s="112" t="s">
        <v>3521</v>
      </c>
    </row>
    <row r="270" spans="1:7" ht="15">
      <c r="A270" s="114" t="s">
        <v>2932</v>
      </c>
      <c r="B270" s="112">
        <v>2</v>
      </c>
      <c r="C270" s="115">
        <v>0.0012525217982988267</v>
      </c>
      <c r="D270" s="112" t="b">
        <v>0</v>
      </c>
      <c r="E270" s="112" t="b">
        <v>0</v>
      </c>
      <c r="F270" s="112" t="b">
        <v>0</v>
      </c>
      <c r="G270" s="112" t="s">
        <v>3521</v>
      </c>
    </row>
    <row r="271" spans="1:7" ht="15">
      <c r="A271" s="114" t="s">
        <v>2811</v>
      </c>
      <c r="B271" s="112">
        <v>2</v>
      </c>
      <c r="C271" s="115">
        <v>0.0012525217982988267</v>
      </c>
      <c r="D271" s="112" t="b">
        <v>0</v>
      </c>
      <c r="E271" s="112" t="b">
        <v>0</v>
      </c>
      <c r="F271" s="112" t="b">
        <v>0</v>
      </c>
      <c r="G271" s="112" t="s">
        <v>3521</v>
      </c>
    </row>
    <row r="272" spans="1:7" ht="15">
      <c r="A272" s="114" t="s">
        <v>2878</v>
      </c>
      <c r="B272" s="112">
        <v>2</v>
      </c>
      <c r="C272" s="115">
        <v>0.0012525217982988267</v>
      </c>
      <c r="D272" s="112" t="b">
        <v>0</v>
      </c>
      <c r="E272" s="112" t="b">
        <v>0</v>
      </c>
      <c r="F272" s="112" t="b">
        <v>0</v>
      </c>
      <c r="G272" s="112" t="s">
        <v>3521</v>
      </c>
    </row>
    <row r="273" spans="1:7" ht="15">
      <c r="A273" s="114" t="s">
        <v>2968</v>
      </c>
      <c r="B273" s="112">
        <v>2</v>
      </c>
      <c r="C273" s="115">
        <v>0.0012525217982988267</v>
      </c>
      <c r="D273" s="112" t="b">
        <v>0</v>
      </c>
      <c r="E273" s="112" t="b">
        <v>0</v>
      </c>
      <c r="F273" s="112" t="b">
        <v>0</v>
      </c>
      <c r="G273" s="112" t="s">
        <v>3521</v>
      </c>
    </row>
    <row r="274" spans="1:7" ht="15">
      <c r="A274" s="114" t="s">
        <v>2928</v>
      </c>
      <c r="B274" s="112">
        <v>2</v>
      </c>
      <c r="C274" s="115">
        <v>0.0012525217982988267</v>
      </c>
      <c r="D274" s="112" t="b">
        <v>0</v>
      </c>
      <c r="E274" s="112" t="b">
        <v>0</v>
      </c>
      <c r="F274" s="112" t="b">
        <v>0</v>
      </c>
      <c r="G274" s="112" t="s">
        <v>3521</v>
      </c>
    </row>
    <row r="275" spans="1:7" ht="15">
      <c r="A275" s="114" t="s">
        <v>2947</v>
      </c>
      <c r="B275" s="112">
        <v>2</v>
      </c>
      <c r="C275" s="115">
        <v>0.0012525217982988267</v>
      </c>
      <c r="D275" s="112" t="b">
        <v>1</v>
      </c>
      <c r="E275" s="112" t="b">
        <v>0</v>
      </c>
      <c r="F275" s="112" t="b">
        <v>0</v>
      </c>
      <c r="G275" s="112" t="s">
        <v>3521</v>
      </c>
    </row>
    <row r="276" spans="1:7" ht="15">
      <c r="A276" s="114" t="s">
        <v>2892</v>
      </c>
      <c r="B276" s="112">
        <v>2</v>
      </c>
      <c r="C276" s="115">
        <v>0.0012525217982988267</v>
      </c>
      <c r="D276" s="112" t="b">
        <v>0</v>
      </c>
      <c r="E276" s="112" t="b">
        <v>0</v>
      </c>
      <c r="F276" s="112" t="b">
        <v>0</v>
      </c>
      <c r="G276" s="112" t="s">
        <v>3521</v>
      </c>
    </row>
    <row r="277" spans="1:7" ht="15">
      <c r="A277" s="114" t="s">
        <v>2835</v>
      </c>
      <c r="B277" s="112">
        <v>2</v>
      </c>
      <c r="C277" s="115">
        <v>0.0012525217982988267</v>
      </c>
      <c r="D277" s="112" t="b">
        <v>1</v>
      </c>
      <c r="E277" s="112" t="b">
        <v>0</v>
      </c>
      <c r="F277" s="112" t="b">
        <v>0</v>
      </c>
      <c r="G277" s="112" t="s">
        <v>3521</v>
      </c>
    </row>
    <row r="278" spans="1:7" ht="15">
      <c r="A278" s="114" t="s">
        <v>2931</v>
      </c>
      <c r="B278" s="112">
        <v>2</v>
      </c>
      <c r="C278" s="115">
        <v>0.0014420872867522152</v>
      </c>
      <c r="D278" s="112" t="b">
        <v>0</v>
      </c>
      <c r="E278" s="112" t="b">
        <v>0</v>
      </c>
      <c r="F278" s="112" t="b">
        <v>0</v>
      </c>
      <c r="G278" s="112" t="s">
        <v>3521</v>
      </c>
    </row>
    <row r="279" spans="1:7" ht="15">
      <c r="A279" s="114" t="s">
        <v>2869</v>
      </c>
      <c r="B279" s="112">
        <v>2</v>
      </c>
      <c r="C279" s="115">
        <v>0.0012525217982988267</v>
      </c>
      <c r="D279" s="112" t="b">
        <v>0</v>
      </c>
      <c r="E279" s="112" t="b">
        <v>0</v>
      </c>
      <c r="F279" s="112" t="b">
        <v>0</v>
      </c>
      <c r="G279" s="112" t="s">
        <v>3521</v>
      </c>
    </row>
    <row r="280" spans="1:7" ht="15">
      <c r="A280" s="114" t="s">
        <v>2875</v>
      </c>
      <c r="B280" s="112">
        <v>2</v>
      </c>
      <c r="C280" s="115">
        <v>0.0012525217982988267</v>
      </c>
      <c r="D280" s="112" t="b">
        <v>0</v>
      </c>
      <c r="E280" s="112" t="b">
        <v>0</v>
      </c>
      <c r="F280" s="112" t="b">
        <v>0</v>
      </c>
      <c r="G280" s="112" t="s">
        <v>3521</v>
      </c>
    </row>
    <row r="281" spans="1:7" ht="15">
      <c r="A281" s="114" t="s">
        <v>3004</v>
      </c>
      <c r="B281" s="112">
        <v>2</v>
      </c>
      <c r="C281" s="115">
        <v>0.0012525217982988267</v>
      </c>
      <c r="D281" s="112" t="b">
        <v>0</v>
      </c>
      <c r="E281" s="112" t="b">
        <v>0</v>
      </c>
      <c r="F281" s="112" t="b">
        <v>0</v>
      </c>
      <c r="G281" s="112" t="s">
        <v>3521</v>
      </c>
    </row>
    <row r="282" spans="1:7" ht="15">
      <c r="A282" s="114" t="s">
        <v>3005</v>
      </c>
      <c r="B282" s="112">
        <v>2</v>
      </c>
      <c r="C282" s="115">
        <v>0.0012525217982988267</v>
      </c>
      <c r="D282" s="112" t="b">
        <v>0</v>
      </c>
      <c r="E282" s="112" t="b">
        <v>0</v>
      </c>
      <c r="F282" s="112" t="b">
        <v>0</v>
      </c>
      <c r="G282" s="112" t="s">
        <v>3521</v>
      </c>
    </row>
    <row r="283" spans="1:7" ht="15">
      <c r="A283" s="114" t="s">
        <v>2857</v>
      </c>
      <c r="B283" s="112">
        <v>2</v>
      </c>
      <c r="C283" s="115">
        <v>0.0012525217982988267</v>
      </c>
      <c r="D283" s="112" t="b">
        <v>0</v>
      </c>
      <c r="E283" s="112" t="b">
        <v>0</v>
      </c>
      <c r="F283" s="112" t="b">
        <v>0</v>
      </c>
      <c r="G283" s="112" t="s">
        <v>3521</v>
      </c>
    </row>
    <row r="284" spans="1:7" ht="15">
      <c r="A284" s="114" t="s">
        <v>2999</v>
      </c>
      <c r="B284" s="112">
        <v>2</v>
      </c>
      <c r="C284" s="115">
        <v>0.0012525217982988267</v>
      </c>
      <c r="D284" s="112" t="b">
        <v>0</v>
      </c>
      <c r="E284" s="112" t="b">
        <v>0</v>
      </c>
      <c r="F284" s="112" t="b">
        <v>0</v>
      </c>
      <c r="G284" s="112" t="s">
        <v>3521</v>
      </c>
    </row>
    <row r="285" spans="1:7" ht="15">
      <c r="A285" s="114" t="s">
        <v>377</v>
      </c>
      <c r="B285" s="112">
        <v>2</v>
      </c>
      <c r="C285" s="115">
        <v>0.0012525217982988267</v>
      </c>
      <c r="D285" s="112" t="b">
        <v>0</v>
      </c>
      <c r="E285" s="112" t="b">
        <v>0</v>
      </c>
      <c r="F285" s="112" t="b">
        <v>0</v>
      </c>
      <c r="G285" s="112" t="s">
        <v>3521</v>
      </c>
    </row>
    <row r="286" spans="1:7" ht="15">
      <c r="A286" s="114" t="s">
        <v>2912</v>
      </c>
      <c r="B286" s="112">
        <v>2</v>
      </c>
      <c r="C286" s="115">
        <v>0.0012525217982988267</v>
      </c>
      <c r="D286" s="112" t="b">
        <v>1</v>
      </c>
      <c r="E286" s="112" t="b">
        <v>0</v>
      </c>
      <c r="F286" s="112" t="b">
        <v>0</v>
      </c>
      <c r="G286" s="112" t="s">
        <v>3521</v>
      </c>
    </row>
    <row r="287" spans="1:7" ht="15">
      <c r="A287" s="114" t="s">
        <v>2867</v>
      </c>
      <c r="B287" s="112">
        <v>2</v>
      </c>
      <c r="C287" s="115">
        <v>0.0014420872867522152</v>
      </c>
      <c r="D287" s="112" t="b">
        <v>0</v>
      </c>
      <c r="E287" s="112" t="b">
        <v>0</v>
      </c>
      <c r="F287" s="112" t="b">
        <v>0</v>
      </c>
      <c r="G287" s="112" t="s">
        <v>3521</v>
      </c>
    </row>
    <row r="288" spans="1:7" ht="15">
      <c r="A288" s="114" t="s">
        <v>3011</v>
      </c>
      <c r="B288" s="112">
        <v>2</v>
      </c>
      <c r="C288" s="115">
        <v>0.0014420872867522152</v>
      </c>
      <c r="D288" s="112" t="b">
        <v>0</v>
      </c>
      <c r="E288" s="112" t="b">
        <v>0</v>
      </c>
      <c r="F288" s="112" t="b">
        <v>0</v>
      </c>
      <c r="G288" s="112" t="s">
        <v>3521</v>
      </c>
    </row>
    <row r="289" spans="1:7" ht="15">
      <c r="A289" s="114" t="s">
        <v>2926</v>
      </c>
      <c r="B289" s="112">
        <v>2</v>
      </c>
      <c r="C289" s="115">
        <v>0.0012525217982988267</v>
      </c>
      <c r="D289" s="112" t="b">
        <v>0</v>
      </c>
      <c r="E289" s="112" t="b">
        <v>0</v>
      </c>
      <c r="F289" s="112" t="b">
        <v>0</v>
      </c>
      <c r="G289" s="112" t="s">
        <v>3521</v>
      </c>
    </row>
    <row r="290" spans="1:7" ht="15">
      <c r="A290" s="114" t="s">
        <v>3012</v>
      </c>
      <c r="B290" s="112">
        <v>2</v>
      </c>
      <c r="C290" s="115">
        <v>0.0012525217982988267</v>
      </c>
      <c r="D290" s="112" t="b">
        <v>0</v>
      </c>
      <c r="E290" s="112" t="b">
        <v>0</v>
      </c>
      <c r="F290" s="112" t="b">
        <v>0</v>
      </c>
      <c r="G290" s="112" t="s">
        <v>3521</v>
      </c>
    </row>
    <row r="291" spans="1:7" ht="15">
      <c r="A291" s="114" t="s">
        <v>3013</v>
      </c>
      <c r="B291" s="112">
        <v>2</v>
      </c>
      <c r="C291" s="115">
        <v>0.0012525217982988267</v>
      </c>
      <c r="D291" s="112" t="b">
        <v>0</v>
      </c>
      <c r="E291" s="112" t="b">
        <v>0</v>
      </c>
      <c r="F291" s="112" t="b">
        <v>0</v>
      </c>
      <c r="G291" s="112" t="s">
        <v>3521</v>
      </c>
    </row>
    <row r="292" spans="1:7" ht="15">
      <c r="A292" s="114" t="s">
        <v>2983</v>
      </c>
      <c r="B292" s="112">
        <v>2</v>
      </c>
      <c r="C292" s="115">
        <v>0.0012525217982988267</v>
      </c>
      <c r="D292" s="112" t="b">
        <v>0</v>
      </c>
      <c r="E292" s="112" t="b">
        <v>0</v>
      </c>
      <c r="F292" s="112" t="b">
        <v>0</v>
      </c>
      <c r="G292" s="112" t="s">
        <v>3521</v>
      </c>
    </row>
    <row r="293" spans="1:7" ht="15">
      <c r="A293" s="114" t="s">
        <v>2964</v>
      </c>
      <c r="B293" s="112">
        <v>2</v>
      </c>
      <c r="C293" s="115">
        <v>0.0014420872867522152</v>
      </c>
      <c r="D293" s="112" t="b">
        <v>0</v>
      </c>
      <c r="E293" s="112" t="b">
        <v>1</v>
      </c>
      <c r="F293" s="112" t="b">
        <v>0</v>
      </c>
      <c r="G293" s="112" t="s">
        <v>3521</v>
      </c>
    </row>
    <row r="294" spans="1:7" ht="15">
      <c r="A294" s="114" t="s">
        <v>2919</v>
      </c>
      <c r="B294" s="112">
        <v>2</v>
      </c>
      <c r="C294" s="115">
        <v>0.0012525217982988267</v>
      </c>
      <c r="D294" s="112" t="b">
        <v>1</v>
      </c>
      <c r="E294" s="112" t="b">
        <v>0</v>
      </c>
      <c r="F294" s="112" t="b">
        <v>0</v>
      </c>
      <c r="G294" s="112" t="s">
        <v>3521</v>
      </c>
    </row>
    <row r="295" spans="1:7" ht="15">
      <c r="A295" s="114" t="s">
        <v>2885</v>
      </c>
      <c r="B295" s="112">
        <v>2</v>
      </c>
      <c r="C295" s="115">
        <v>0.0014420872867522152</v>
      </c>
      <c r="D295" s="112" t="b">
        <v>0</v>
      </c>
      <c r="E295" s="112" t="b">
        <v>0</v>
      </c>
      <c r="F295" s="112" t="b">
        <v>0</v>
      </c>
      <c r="G295" s="112" t="s">
        <v>3521</v>
      </c>
    </row>
    <row r="296" spans="1:7" ht="15">
      <c r="A296" s="114" t="s">
        <v>2907</v>
      </c>
      <c r="B296" s="112">
        <v>2</v>
      </c>
      <c r="C296" s="115">
        <v>0.0012525217982988267</v>
      </c>
      <c r="D296" s="112" t="b">
        <v>1</v>
      </c>
      <c r="E296" s="112" t="b">
        <v>0</v>
      </c>
      <c r="F296" s="112" t="b">
        <v>0</v>
      </c>
      <c r="G296" s="112" t="s">
        <v>3521</v>
      </c>
    </row>
    <row r="297" spans="1:7" ht="15">
      <c r="A297" s="114" t="s">
        <v>2949</v>
      </c>
      <c r="B297" s="112">
        <v>2</v>
      </c>
      <c r="C297" s="115">
        <v>0.0012525217982988267</v>
      </c>
      <c r="D297" s="112" t="b">
        <v>0</v>
      </c>
      <c r="E297" s="112" t="b">
        <v>0</v>
      </c>
      <c r="F297" s="112" t="b">
        <v>0</v>
      </c>
      <c r="G297" s="112" t="s">
        <v>3521</v>
      </c>
    </row>
    <row r="298" spans="1:7" ht="15">
      <c r="A298" s="114" t="s">
        <v>2870</v>
      </c>
      <c r="B298" s="112">
        <v>2</v>
      </c>
      <c r="C298" s="115">
        <v>0.0012525217982988267</v>
      </c>
      <c r="D298" s="112" t="b">
        <v>0</v>
      </c>
      <c r="E298" s="112" t="b">
        <v>0</v>
      </c>
      <c r="F298" s="112" t="b">
        <v>0</v>
      </c>
      <c r="G298" s="112" t="s">
        <v>3521</v>
      </c>
    </row>
    <row r="299" spans="1:7" ht="15">
      <c r="A299" s="114" t="s">
        <v>2828</v>
      </c>
      <c r="B299" s="112">
        <v>2</v>
      </c>
      <c r="C299" s="115">
        <v>0.0012525217982988267</v>
      </c>
      <c r="D299" s="112" t="b">
        <v>0</v>
      </c>
      <c r="E299" s="112" t="b">
        <v>1</v>
      </c>
      <c r="F299" s="112" t="b">
        <v>0</v>
      </c>
      <c r="G299" s="112" t="s">
        <v>3521</v>
      </c>
    </row>
    <row r="300" spans="1:7" ht="15">
      <c r="A300" s="114" t="s">
        <v>2950</v>
      </c>
      <c r="B300" s="112">
        <v>2</v>
      </c>
      <c r="C300" s="115">
        <v>0.0012525217982988267</v>
      </c>
      <c r="D300" s="112" t="b">
        <v>0</v>
      </c>
      <c r="E300" s="112" t="b">
        <v>0</v>
      </c>
      <c r="F300" s="112" t="b">
        <v>0</v>
      </c>
      <c r="G300" s="112" t="s">
        <v>3521</v>
      </c>
    </row>
    <row r="301" spans="1:7" ht="15">
      <c r="A301" s="114" t="s">
        <v>2884</v>
      </c>
      <c r="B301" s="112">
        <v>2</v>
      </c>
      <c r="C301" s="115">
        <v>0.0012525217982988267</v>
      </c>
      <c r="D301" s="112" t="b">
        <v>1</v>
      </c>
      <c r="E301" s="112" t="b">
        <v>0</v>
      </c>
      <c r="F301" s="112" t="b">
        <v>0</v>
      </c>
      <c r="G301" s="112" t="s">
        <v>3521</v>
      </c>
    </row>
    <row r="302" spans="1:7" ht="15">
      <c r="A302" s="114" t="s">
        <v>2896</v>
      </c>
      <c r="B302" s="112">
        <v>2</v>
      </c>
      <c r="C302" s="115">
        <v>0.0012525217982988267</v>
      </c>
      <c r="D302" s="112" t="b">
        <v>0</v>
      </c>
      <c r="E302" s="112" t="b">
        <v>0</v>
      </c>
      <c r="F302" s="112" t="b">
        <v>0</v>
      </c>
      <c r="G302" s="112" t="s">
        <v>3521</v>
      </c>
    </row>
    <row r="303" spans="1:7" ht="15">
      <c r="A303" s="114" t="s">
        <v>2873</v>
      </c>
      <c r="B303" s="112">
        <v>2</v>
      </c>
      <c r="C303" s="115">
        <v>0.0012525217982988267</v>
      </c>
      <c r="D303" s="112" t="b">
        <v>0</v>
      </c>
      <c r="E303" s="112" t="b">
        <v>0</v>
      </c>
      <c r="F303" s="112" t="b">
        <v>0</v>
      </c>
      <c r="G303" s="112" t="s">
        <v>3521</v>
      </c>
    </row>
    <row r="304" spans="1:7" ht="15">
      <c r="A304" s="114" t="s">
        <v>2987</v>
      </c>
      <c r="B304" s="112">
        <v>2</v>
      </c>
      <c r="C304" s="115">
        <v>0.0012525217982988267</v>
      </c>
      <c r="D304" s="112" t="b">
        <v>0</v>
      </c>
      <c r="E304" s="112" t="b">
        <v>0</v>
      </c>
      <c r="F304" s="112" t="b">
        <v>0</v>
      </c>
      <c r="G304" s="112" t="s">
        <v>3521</v>
      </c>
    </row>
    <row r="305" spans="1:7" ht="15">
      <c r="A305" s="114" t="s">
        <v>2933</v>
      </c>
      <c r="B305" s="112">
        <v>2</v>
      </c>
      <c r="C305" s="115">
        <v>0.0012525217982988267</v>
      </c>
      <c r="D305" s="112" t="b">
        <v>0</v>
      </c>
      <c r="E305" s="112" t="b">
        <v>0</v>
      </c>
      <c r="F305" s="112" t="b">
        <v>0</v>
      </c>
      <c r="G305" s="112" t="s">
        <v>3521</v>
      </c>
    </row>
    <row r="306" spans="1:7" ht="15">
      <c r="A306" s="114" t="s">
        <v>2883</v>
      </c>
      <c r="B306" s="112">
        <v>2</v>
      </c>
      <c r="C306" s="115">
        <v>0.0012525217982988267</v>
      </c>
      <c r="D306" s="112" t="b">
        <v>0</v>
      </c>
      <c r="E306" s="112" t="b">
        <v>0</v>
      </c>
      <c r="F306" s="112" t="b">
        <v>0</v>
      </c>
      <c r="G306" s="112" t="s">
        <v>3521</v>
      </c>
    </row>
    <row r="307" spans="1:7" ht="15">
      <c r="A307" s="114" t="s">
        <v>2845</v>
      </c>
      <c r="B307" s="112">
        <v>2</v>
      </c>
      <c r="C307" s="115">
        <v>0.0012525217982988267</v>
      </c>
      <c r="D307" s="112" t="b">
        <v>0</v>
      </c>
      <c r="E307" s="112" t="b">
        <v>0</v>
      </c>
      <c r="F307" s="112" t="b">
        <v>0</v>
      </c>
      <c r="G307" s="112" t="s">
        <v>3521</v>
      </c>
    </row>
    <row r="308" spans="1:7" ht="15">
      <c r="A308" s="114" t="s">
        <v>2971</v>
      </c>
      <c r="B308" s="112">
        <v>2</v>
      </c>
      <c r="C308" s="115">
        <v>0.0014420872867522152</v>
      </c>
      <c r="D308" s="112" t="b">
        <v>0</v>
      </c>
      <c r="E308" s="112" t="b">
        <v>0</v>
      </c>
      <c r="F308" s="112" t="b">
        <v>0</v>
      </c>
      <c r="G308" s="112" t="s">
        <v>3521</v>
      </c>
    </row>
    <row r="309" spans="1:7" ht="15">
      <c r="A309" s="114" t="s">
        <v>412</v>
      </c>
      <c r="B309" s="112">
        <v>2</v>
      </c>
      <c r="C309" s="115">
        <v>0.0012525217982988267</v>
      </c>
      <c r="D309" s="112" t="b">
        <v>0</v>
      </c>
      <c r="E309" s="112" t="b">
        <v>0</v>
      </c>
      <c r="F309" s="112" t="b">
        <v>0</v>
      </c>
      <c r="G309" s="112" t="s">
        <v>3521</v>
      </c>
    </row>
    <row r="310" spans="1:7" ht="15">
      <c r="A310" s="114" t="s">
        <v>2800</v>
      </c>
      <c r="B310" s="112">
        <v>2</v>
      </c>
      <c r="C310" s="115">
        <v>0.0014420872867522152</v>
      </c>
      <c r="D310" s="112" t="b">
        <v>1</v>
      </c>
      <c r="E310" s="112" t="b">
        <v>0</v>
      </c>
      <c r="F310" s="112" t="b">
        <v>0</v>
      </c>
      <c r="G310" s="112" t="s">
        <v>3521</v>
      </c>
    </row>
    <row r="311" spans="1:7" ht="15">
      <c r="A311" s="114" t="s">
        <v>422</v>
      </c>
      <c r="B311" s="112">
        <v>2</v>
      </c>
      <c r="C311" s="115">
        <v>0.0012525217982988267</v>
      </c>
      <c r="D311" s="112" t="b">
        <v>0</v>
      </c>
      <c r="E311" s="112" t="b">
        <v>0</v>
      </c>
      <c r="F311" s="112" t="b">
        <v>0</v>
      </c>
      <c r="G311" s="112" t="s">
        <v>3521</v>
      </c>
    </row>
    <row r="312" spans="1:7" ht="15">
      <c r="A312" s="114" t="s">
        <v>2952</v>
      </c>
      <c r="B312" s="112">
        <v>2</v>
      </c>
      <c r="C312" s="115">
        <v>0.0012525217982988267</v>
      </c>
      <c r="D312" s="112" t="b">
        <v>0</v>
      </c>
      <c r="E312" s="112" t="b">
        <v>0</v>
      </c>
      <c r="F312" s="112" t="b">
        <v>0</v>
      </c>
      <c r="G312" s="112" t="s">
        <v>3521</v>
      </c>
    </row>
    <row r="313" spans="1:7" ht="15">
      <c r="A313" s="114" t="s">
        <v>2897</v>
      </c>
      <c r="B313" s="112">
        <v>2</v>
      </c>
      <c r="C313" s="115">
        <v>0.0012525217982988267</v>
      </c>
      <c r="D313" s="112" t="b">
        <v>0</v>
      </c>
      <c r="E313" s="112" t="b">
        <v>0</v>
      </c>
      <c r="F313" s="112" t="b">
        <v>0</v>
      </c>
      <c r="G313" s="112" t="s">
        <v>3521</v>
      </c>
    </row>
    <row r="314" spans="1:7" ht="15">
      <c r="A314" s="114" t="s">
        <v>2743</v>
      </c>
      <c r="B314" s="112">
        <v>2</v>
      </c>
      <c r="C314" s="115">
        <v>0.0012525217982988267</v>
      </c>
      <c r="D314" s="112" t="b">
        <v>0</v>
      </c>
      <c r="E314" s="112" t="b">
        <v>0</v>
      </c>
      <c r="F314" s="112" t="b">
        <v>0</v>
      </c>
      <c r="G314" s="112" t="s">
        <v>3521</v>
      </c>
    </row>
    <row r="315" spans="1:7" ht="15">
      <c r="A315" s="114" t="s">
        <v>2903</v>
      </c>
      <c r="B315" s="112">
        <v>2</v>
      </c>
      <c r="C315" s="115">
        <v>0.0012525217982988267</v>
      </c>
      <c r="D315" s="112" t="b">
        <v>0</v>
      </c>
      <c r="E315" s="112" t="b">
        <v>0</v>
      </c>
      <c r="F315" s="112" t="b">
        <v>0</v>
      </c>
      <c r="G315" s="112" t="s">
        <v>3521</v>
      </c>
    </row>
    <row r="316" spans="1:7" ht="15">
      <c r="A316" s="114" t="s">
        <v>2962</v>
      </c>
      <c r="B316" s="112">
        <v>2</v>
      </c>
      <c r="C316" s="115">
        <v>0.0012525217982988267</v>
      </c>
      <c r="D316" s="112" t="b">
        <v>0</v>
      </c>
      <c r="E316" s="112" t="b">
        <v>0</v>
      </c>
      <c r="F316" s="112" t="b">
        <v>0</v>
      </c>
      <c r="G316" s="112" t="s">
        <v>3521</v>
      </c>
    </row>
    <row r="317" spans="1:7" ht="15">
      <c r="A317" s="114" t="s">
        <v>2944</v>
      </c>
      <c r="B317" s="112">
        <v>2</v>
      </c>
      <c r="C317" s="115">
        <v>0.0012525217982988267</v>
      </c>
      <c r="D317" s="112" t="b">
        <v>0</v>
      </c>
      <c r="E317" s="112" t="b">
        <v>0</v>
      </c>
      <c r="F317" s="112" t="b">
        <v>0</v>
      </c>
      <c r="G317" s="112" t="s">
        <v>3521</v>
      </c>
    </row>
    <row r="318" spans="1:7" ht="15">
      <c r="A318" s="114" t="s">
        <v>2955</v>
      </c>
      <c r="B318" s="112">
        <v>2</v>
      </c>
      <c r="C318" s="115">
        <v>0.0012525217982988267</v>
      </c>
      <c r="D318" s="112" t="b">
        <v>0</v>
      </c>
      <c r="E318" s="112" t="b">
        <v>0</v>
      </c>
      <c r="F318" s="112" t="b">
        <v>0</v>
      </c>
      <c r="G318" s="112" t="s">
        <v>3521</v>
      </c>
    </row>
    <row r="319" spans="1:7" ht="15">
      <c r="A319" s="114" t="s">
        <v>2889</v>
      </c>
      <c r="B319" s="112">
        <v>2</v>
      </c>
      <c r="C319" s="115">
        <v>0.0012525217982988267</v>
      </c>
      <c r="D319" s="112" t="b">
        <v>0</v>
      </c>
      <c r="E319" s="112" t="b">
        <v>0</v>
      </c>
      <c r="F319" s="112" t="b">
        <v>0</v>
      </c>
      <c r="G319" s="112" t="s">
        <v>3521</v>
      </c>
    </row>
    <row r="320" spans="1:7" ht="15">
      <c r="A320" s="114" t="s">
        <v>2794</v>
      </c>
      <c r="B320" s="112">
        <v>2</v>
      </c>
      <c r="C320" s="115">
        <v>0.0012525217982988267</v>
      </c>
      <c r="D320" s="112" t="b">
        <v>0</v>
      </c>
      <c r="E320" s="112" t="b">
        <v>1</v>
      </c>
      <c r="F320" s="112" t="b">
        <v>0</v>
      </c>
      <c r="G320" s="112" t="s">
        <v>3521</v>
      </c>
    </row>
    <row r="321" spans="1:7" ht="15">
      <c r="A321" s="114" t="s">
        <v>2970</v>
      </c>
      <c r="B321" s="112">
        <v>2</v>
      </c>
      <c r="C321" s="115">
        <v>0.0014420872867522152</v>
      </c>
      <c r="D321" s="112" t="b">
        <v>0</v>
      </c>
      <c r="E321" s="112" t="b">
        <v>0</v>
      </c>
      <c r="F321" s="112" t="b">
        <v>0</v>
      </c>
      <c r="G321" s="112" t="s">
        <v>3521</v>
      </c>
    </row>
    <row r="322" spans="1:7" ht="15">
      <c r="A322" s="114" t="s">
        <v>2942</v>
      </c>
      <c r="B322" s="112">
        <v>2</v>
      </c>
      <c r="C322" s="115">
        <v>0.0012525217982988267</v>
      </c>
      <c r="D322" s="112" t="b">
        <v>0</v>
      </c>
      <c r="E322" s="112" t="b">
        <v>0</v>
      </c>
      <c r="F322" s="112" t="b">
        <v>0</v>
      </c>
      <c r="G322" s="112" t="s">
        <v>3521</v>
      </c>
    </row>
    <row r="323" spans="1:7" ht="15">
      <c r="A323" s="114" t="s">
        <v>2943</v>
      </c>
      <c r="B323" s="112">
        <v>2</v>
      </c>
      <c r="C323" s="115">
        <v>0.0012525217982988267</v>
      </c>
      <c r="D323" s="112" t="b">
        <v>0</v>
      </c>
      <c r="E323" s="112" t="b">
        <v>0</v>
      </c>
      <c r="F323" s="112" t="b">
        <v>0</v>
      </c>
      <c r="G323" s="112" t="s">
        <v>3521</v>
      </c>
    </row>
    <row r="324" spans="1:7" ht="15">
      <c r="A324" s="114" t="s">
        <v>3000</v>
      </c>
      <c r="B324" s="112">
        <v>2</v>
      </c>
      <c r="C324" s="115">
        <v>0.0012525217982988267</v>
      </c>
      <c r="D324" s="112" t="b">
        <v>0</v>
      </c>
      <c r="E324" s="112" t="b">
        <v>0</v>
      </c>
      <c r="F324" s="112" t="b">
        <v>0</v>
      </c>
      <c r="G324" s="112" t="s">
        <v>3521</v>
      </c>
    </row>
    <row r="325" spans="1:7" ht="15">
      <c r="A325" s="114" t="s">
        <v>2874</v>
      </c>
      <c r="B325" s="112">
        <v>2</v>
      </c>
      <c r="C325" s="115">
        <v>0.0012525217982988267</v>
      </c>
      <c r="D325" s="112" t="b">
        <v>0</v>
      </c>
      <c r="E325" s="112" t="b">
        <v>0</v>
      </c>
      <c r="F325" s="112" t="b">
        <v>0</v>
      </c>
      <c r="G325" s="112" t="s">
        <v>3521</v>
      </c>
    </row>
    <row r="326" spans="1:7" ht="15">
      <c r="A326" s="114" t="s">
        <v>2975</v>
      </c>
      <c r="B326" s="112">
        <v>2</v>
      </c>
      <c r="C326" s="115">
        <v>0.0012525217982988267</v>
      </c>
      <c r="D326" s="112" t="b">
        <v>0</v>
      </c>
      <c r="E326" s="112" t="b">
        <v>0</v>
      </c>
      <c r="F326" s="112" t="b">
        <v>0</v>
      </c>
      <c r="G326" s="112" t="s">
        <v>3521</v>
      </c>
    </row>
    <row r="327" spans="1:7" ht="15">
      <c r="A327" s="114" t="s">
        <v>2917</v>
      </c>
      <c r="B327" s="112">
        <v>2</v>
      </c>
      <c r="C327" s="115">
        <v>0.0012525217982988267</v>
      </c>
      <c r="D327" s="112" t="b">
        <v>0</v>
      </c>
      <c r="E327" s="112" t="b">
        <v>1</v>
      </c>
      <c r="F327" s="112" t="b">
        <v>0</v>
      </c>
      <c r="G327" s="112" t="s">
        <v>3521</v>
      </c>
    </row>
    <row r="328" spans="1:7" ht="15">
      <c r="A328" s="114" t="s">
        <v>2990</v>
      </c>
      <c r="B328" s="112">
        <v>2</v>
      </c>
      <c r="C328" s="115">
        <v>0.0014420872867522152</v>
      </c>
      <c r="D328" s="112" t="b">
        <v>0</v>
      </c>
      <c r="E328" s="112" t="b">
        <v>0</v>
      </c>
      <c r="F328" s="112" t="b">
        <v>0</v>
      </c>
      <c r="G328" s="112" t="s">
        <v>3521</v>
      </c>
    </row>
    <row r="329" spans="1:7" ht="15">
      <c r="A329" s="114" t="s">
        <v>2954</v>
      </c>
      <c r="B329" s="112">
        <v>2</v>
      </c>
      <c r="C329" s="115">
        <v>0.0012525217982988267</v>
      </c>
      <c r="D329" s="112" t="b">
        <v>0</v>
      </c>
      <c r="E329" s="112" t="b">
        <v>0</v>
      </c>
      <c r="F329" s="112" t="b">
        <v>0</v>
      </c>
      <c r="G329" s="112" t="s">
        <v>3521</v>
      </c>
    </row>
    <row r="330" spans="1:7" ht="15">
      <c r="A330" s="114" t="s">
        <v>2945</v>
      </c>
      <c r="B330" s="112">
        <v>2</v>
      </c>
      <c r="C330" s="115">
        <v>0.0014420872867522152</v>
      </c>
      <c r="D330" s="112" t="b">
        <v>0</v>
      </c>
      <c r="E330" s="112" t="b">
        <v>0</v>
      </c>
      <c r="F330" s="112" t="b">
        <v>0</v>
      </c>
      <c r="G330" s="112" t="s">
        <v>3521</v>
      </c>
    </row>
    <row r="331" spans="1:7" ht="15">
      <c r="A331" s="114" t="s">
        <v>2805</v>
      </c>
      <c r="B331" s="112">
        <v>2</v>
      </c>
      <c r="C331" s="115">
        <v>0.0012525217982988267</v>
      </c>
      <c r="D331" s="112" t="b">
        <v>0</v>
      </c>
      <c r="E331" s="112" t="b">
        <v>0</v>
      </c>
      <c r="F331" s="112" t="b">
        <v>0</v>
      </c>
      <c r="G331" s="112" t="s">
        <v>3521</v>
      </c>
    </row>
    <row r="332" spans="1:7" ht="15">
      <c r="A332" s="114" t="s">
        <v>357</v>
      </c>
      <c r="B332" s="112">
        <v>2</v>
      </c>
      <c r="C332" s="115">
        <v>0.0012525217982988267</v>
      </c>
      <c r="D332" s="112" t="b">
        <v>0</v>
      </c>
      <c r="E332" s="112" t="b">
        <v>0</v>
      </c>
      <c r="F332" s="112" t="b">
        <v>0</v>
      </c>
      <c r="G332" s="112" t="s">
        <v>3521</v>
      </c>
    </row>
    <row r="333" spans="1:7" ht="15">
      <c r="A333" s="114" t="s">
        <v>2905</v>
      </c>
      <c r="B333" s="112">
        <v>2</v>
      </c>
      <c r="C333" s="115">
        <v>0.0014420872867522152</v>
      </c>
      <c r="D333" s="112" t="b">
        <v>0</v>
      </c>
      <c r="E333" s="112" t="b">
        <v>0</v>
      </c>
      <c r="F333" s="112" t="b">
        <v>0</v>
      </c>
      <c r="G333" s="112" t="s">
        <v>3521</v>
      </c>
    </row>
    <row r="334" spans="1:7" ht="15">
      <c r="A334" s="114" t="s">
        <v>3026</v>
      </c>
      <c r="B334" s="112">
        <v>2</v>
      </c>
      <c r="C334" s="115">
        <v>0.0012525217982988267</v>
      </c>
      <c r="D334" s="112" t="b">
        <v>1</v>
      </c>
      <c r="E334" s="112" t="b">
        <v>0</v>
      </c>
      <c r="F334" s="112" t="b">
        <v>0</v>
      </c>
      <c r="G334" s="112" t="s">
        <v>3521</v>
      </c>
    </row>
    <row r="335" spans="1:7" ht="15">
      <c r="A335" s="114" t="s">
        <v>2397</v>
      </c>
      <c r="B335" s="112">
        <v>2</v>
      </c>
      <c r="C335" s="115">
        <v>0.0012525217982988267</v>
      </c>
      <c r="D335" s="112" t="b">
        <v>0</v>
      </c>
      <c r="E335" s="112" t="b">
        <v>0</v>
      </c>
      <c r="F335" s="112" t="b">
        <v>0</v>
      </c>
      <c r="G335" s="112" t="s">
        <v>3521</v>
      </c>
    </row>
    <row r="336" spans="1:7" ht="15">
      <c r="A336" s="114" t="s">
        <v>3018</v>
      </c>
      <c r="B336" s="112">
        <v>2</v>
      </c>
      <c r="C336" s="115">
        <v>0.0012525217982988267</v>
      </c>
      <c r="D336" s="112" t="b">
        <v>0</v>
      </c>
      <c r="E336" s="112" t="b">
        <v>0</v>
      </c>
      <c r="F336" s="112" t="b">
        <v>0</v>
      </c>
      <c r="G336" s="112" t="s">
        <v>3521</v>
      </c>
    </row>
    <row r="337" spans="1:7" ht="15">
      <c r="A337" s="114" t="s">
        <v>2862</v>
      </c>
      <c r="B337" s="112">
        <v>2</v>
      </c>
      <c r="C337" s="115">
        <v>0.0012525217982988267</v>
      </c>
      <c r="D337" s="112" t="b">
        <v>0</v>
      </c>
      <c r="E337" s="112" t="b">
        <v>0</v>
      </c>
      <c r="F337" s="112" t="b">
        <v>0</v>
      </c>
      <c r="G337" s="112" t="s">
        <v>3521</v>
      </c>
    </row>
    <row r="338" spans="1:7" ht="15">
      <c r="A338" s="114" t="s">
        <v>3002</v>
      </c>
      <c r="B338" s="112">
        <v>2</v>
      </c>
      <c r="C338" s="115">
        <v>0.0012525217982988267</v>
      </c>
      <c r="D338" s="112" t="b">
        <v>1</v>
      </c>
      <c r="E338" s="112" t="b">
        <v>0</v>
      </c>
      <c r="F338" s="112" t="b">
        <v>0</v>
      </c>
      <c r="G338" s="112" t="s">
        <v>3521</v>
      </c>
    </row>
    <row r="339" spans="1:7" ht="15">
      <c r="A339" s="114" t="s">
        <v>371</v>
      </c>
      <c r="B339" s="112">
        <v>2</v>
      </c>
      <c r="C339" s="115">
        <v>0.0012525217982988267</v>
      </c>
      <c r="D339" s="112" t="b">
        <v>0</v>
      </c>
      <c r="E339" s="112" t="b">
        <v>0</v>
      </c>
      <c r="F339" s="112" t="b">
        <v>0</v>
      </c>
      <c r="G339" s="112" t="s">
        <v>3521</v>
      </c>
    </row>
    <row r="340" spans="1:7" ht="15">
      <c r="A340" s="114" t="s">
        <v>2934</v>
      </c>
      <c r="B340" s="112">
        <v>2</v>
      </c>
      <c r="C340" s="115">
        <v>0.0012525217982988267</v>
      </c>
      <c r="D340" s="112" t="b">
        <v>1</v>
      </c>
      <c r="E340" s="112" t="b">
        <v>0</v>
      </c>
      <c r="F340" s="112" t="b">
        <v>0</v>
      </c>
      <c r="G340" s="112" t="s">
        <v>3521</v>
      </c>
    </row>
    <row r="341" spans="1:7" ht="15">
      <c r="A341" s="114" t="s">
        <v>2951</v>
      </c>
      <c r="B341" s="112">
        <v>2</v>
      </c>
      <c r="C341" s="115">
        <v>0.0012525217982988267</v>
      </c>
      <c r="D341" s="112" t="b">
        <v>0</v>
      </c>
      <c r="E341" s="112" t="b">
        <v>0</v>
      </c>
      <c r="F341" s="112" t="b">
        <v>0</v>
      </c>
      <c r="G341" s="112" t="s">
        <v>3521</v>
      </c>
    </row>
    <row r="342" spans="1:7" ht="15">
      <c r="A342" s="114" t="s">
        <v>2886</v>
      </c>
      <c r="B342" s="112">
        <v>2</v>
      </c>
      <c r="C342" s="115">
        <v>0.0014420872867522152</v>
      </c>
      <c r="D342" s="112" t="b">
        <v>0</v>
      </c>
      <c r="E342" s="112" t="b">
        <v>0</v>
      </c>
      <c r="F342" s="112" t="b">
        <v>0</v>
      </c>
      <c r="G342" s="112" t="s">
        <v>3521</v>
      </c>
    </row>
    <row r="343" spans="1:7" ht="15">
      <c r="A343" s="114" t="s">
        <v>2818</v>
      </c>
      <c r="B343" s="112">
        <v>2</v>
      </c>
      <c r="C343" s="115">
        <v>0.0012525217982988267</v>
      </c>
      <c r="D343" s="112" t="b">
        <v>0</v>
      </c>
      <c r="E343" s="112" t="b">
        <v>0</v>
      </c>
      <c r="F343" s="112" t="b">
        <v>0</v>
      </c>
      <c r="G343" s="112" t="s">
        <v>3521</v>
      </c>
    </row>
    <row r="344" spans="1:7" ht="15">
      <c r="A344" s="114" t="s">
        <v>2834</v>
      </c>
      <c r="B344" s="112">
        <v>2</v>
      </c>
      <c r="C344" s="115">
        <v>0.0012525217982988267</v>
      </c>
      <c r="D344" s="112" t="b">
        <v>0</v>
      </c>
      <c r="E344" s="112" t="b">
        <v>0</v>
      </c>
      <c r="F344" s="112" t="b">
        <v>0</v>
      </c>
      <c r="G344" s="112" t="s">
        <v>3521</v>
      </c>
    </row>
    <row r="345" spans="1:7" ht="15">
      <c r="A345" s="114" t="s">
        <v>2888</v>
      </c>
      <c r="B345" s="112">
        <v>2</v>
      </c>
      <c r="C345" s="115">
        <v>0.0014420872867522152</v>
      </c>
      <c r="D345" s="112" t="b">
        <v>0</v>
      </c>
      <c r="E345" s="112" t="b">
        <v>0</v>
      </c>
      <c r="F345" s="112" t="b">
        <v>0</v>
      </c>
      <c r="G345" s="112" t="s">
        <v>3521</v>
      </c>
    </row>
    <row r="346" spans="1:7" ht="15">
      <c r="A346" s="114" t="s">
        <v>2930</v>
      </c>
      <c r="B346" s="112">
        <v>2</v>
      </c>
      <c r="C346" s="115">
        <v>0.0012525217982988267</v>
      </c>
      <c r="D346" s="112" t="b">
        <v>0</v>
      </c>
      <c r="E346" s="112" t="b">
        <v>0</v>
      </c>
      <c r="F346" s="112" t="b">
        <v>0</v>
      </c>
      <c r="G346" s="112" t="s">
        <v>3521</v>
      </c>
    </row>
    <row r="347" spans="1:7" ht="15">
      <c r="A347" s="114" t="s">
        <v>462</v>
      </c>
      <c r="B347" s="112">
        <v>2</v>
      </c>
      <c r="C347" s="115">
        <v>0.0012525217982988267</v>
      </c>
      <c r="D347" s="112" t="b">
        <v>0</v>
      </c>
      <c r="E347" s="112" t="b">
        <v>0</v>
      </c>
      <c r="F347" s="112" t="b">
        <v>0</v>
      </c>
      <c r="G347" s="112" t="s">
        <v>3521</v>
      </c>
    </row>
    <row r="348" spans="1:7" ht="15">
      <c r="A348" s="114" t="s">
        <v>2918</v>
      </c>
      <c r="B348" s="112">
        <v>2</v>
      </c>
      <c r="C348" s="115">
        <v>0.0012525217982988267</v>
      </c>
      <c r="D348" s="112" t="b">
        <v>0</v>
      </c>
      <c r="E348" s="112" t="b">
        <v>0</v>
      </c>
      <c r="F348" s="112" t="b">
        <v>0</v>
      </c>
      <c r="G348" s="112" t="s">
        <v>3521</v>
      </c>
    </row>
    <row r="349" spans="1:7" ht="15">
      <c r="A349" s="114" t="s">
        <v>2732</v>
      </c>
      <c r="B349" s="112">
        <v>2</v>
      </c>
      <c r="C349" s="115">
        <v>0.0014420872867522152</v>
      </c>
      <c r="D349" s="112" t="b">
        <v>0</v>
      </c>
      <c r="E349" s="112" t="b">
        <v>0</v>
      </c>
      <c r="F349" s="112" t="b">
        <v>0</v>
      </c>
      <c r="G349" s="112" t="s">
        <v>3521</v>
      </c>
    </row>
    <row r="350" spans="1:7" ht="15">
      <c r="A350" s="114" t="s">
        <v>2863</v>
      </c>
      <c r="B350" s="112">
        <v>2</v>
      </c>
      <c r="C350" s="115">
        <v>0.0012525217982988267</v>
      </c>
      <c r="D350" s="112" t="b">
        <v>0</v>
      </c>
      <c r="E350" s="112" t="b">
        <v>0</v>
      </c>
      <c r="F350" s="112" t="b">
        <v>0</v>
      </c>
      <c r="G350" s="112" t="s">
        <v>3521</v>
      </c>
    </row>
    <row r="351" spans="1:7" ht="15">
      <c r="A351" s="114" t="s">
        <v>2935</v>
      </c>
      <c r="B351" s="112">
        <v>2</v>
      </c>
      <c r="C351" s="115">
        <v>0.0012525217982988267</v>
      </c>
      <c r="D351" s="112" t="b">
        <v>0</v>
      </c>
      <c r="E351" s="112" t="b">
        <v>0</v>
      </c>
      <c r="F351" s="112" t="b">
        <v>0</v>
      </c>
      <c r="G351" s="112" t="s">
        <v>3521</v>
      </c>
    </row>
    <row r="352" spans="1:7" ht="15">
      <c r="A352" s="114" t="s">
        <v>2881</v>
      </c>
      <c r="B352" s="112">
        <v>2</v>
      </c>
      <c r="C352" s="115">
        <v>0.0014420872867522152</v>
      </c>
      <c r="D352" s="112" t="b">
        <v>0</v>
      </c>
      <c r="E352" s="112" t="b">
        <v>0</v>
      </c>
      <c r="F352" s="112" t="b">
        <v>0</v>
      </c>
      <c r="G352" s="112" t="s">
        <v>3521</v>
      </c>
    </row>
    <row r="353" spans="1:7" ht="15">
      <c r="A353" s="114" t="s">
        <v>2840</v>
      </c>
      <c r="B353" s="112">
        <v>2</v>
      </c>
      <c r="C353" s="115">
        <v>0.0012525217982988267</v>
      </c>
      <c r="D353" s="112" t="b">
        <v>0</v>
      </c>
      <c r="E353" s="112" t="b">
        <v>0</v>
      </c>
      <c r="F353" s="112" t="b">
        <v>0</v>
      </c>
      <c r="G353" s="112" t="s">
        <v>3521</v>
      </c>
    </row>
    <row r="354" spans="1:7" ht="15">
      <c r="A354" s="114" t="s">
        <v>2982</v>
      </c>
      <c r="B354" s="112">
        <v>2</v>
      </c>
      <c r="C354" s="115">
        <v>0.0012525217982988267</v>
      </c>
      <c r="D354" s="112" t="b">
        <v>0</v>
      </c>
      <c r="E354" s="112" t="b">
        <v>1</v>
      </c>
      <c r="F354" s="112" t="b">
        <v>0</v>
      </c>
      <c r="G354" s="112" t="s">
        <v>3521</v>
      </c>
    </row>
    <row r="355" spans="1:7" ht="15">
      <c r="A355" s="114" t="s">
        <v>2893</v>
      </c>
      <c r="B355" s="112">
        <v>2</v>
      </c>
      <c r="C355" s="115">
        <v>0.0014420872867522152</v>
      </c>
      <c r="D355" s="112" t="b">
        <v>0</v>
      </c>
      <c r="E355" s="112" t="b">
        <v>0</v>
      </c>
      <c r="F355" s="112" t="b">
        <v>0</v>
      </c>
      <c r="G355" s="112" t="s">
        <v>3521</v>
      </c>
    </row>
    <row r="356" spans="1:7" ht="15">
      <c r="A356" s="114" t="s">
        <v>2966</v>
      </c>
      <c r="B356" s="112">
        <v>2</v>
      </c>
      <c r="C356" s="115">
        <v>0.0014420872867522152</v>
      </c>
      <c r="D356" s="112" t="b">
        <v>0</v>
      </c>
      <c r="E356" s="112" t="b">
        <v>0</v>
      </c>
      <c r="F356" s="112" t="b">
        <v>0</v>
      </c>
      <c r="G356" s="112" t="s">
        <v>3521</v>
      </c>
    </row>
    <row r="357" spans="1:7" ht="15">
      <c r="A357" s="114" t="s">
        <v>2969</v>
      </c>
      <c r="B357" s="112">
        <v>2</v>
      </c>
      <c r="C357" s="115">
        <v>0.0012525217982988267</v>
      </c>
      <c r="D357" s="112" t="b">
        <v>0</v>
      </c>
      <c r="E357" s="112" t="b">
        <v>0</v>
      </c>
      <c r="F357" s="112" t="b">
        <v>0</v>
      </c>
      <c r="G357" s="112" t="s">
        <v>3521</v>
      </c>
    </row>
    <row r="358" spans="1:7" ht="15">
      <c r="A358" s="114" t="s">
        <v>2915</v>
      </c>
      <c r="B358" s="112">
        <v>2</v>
      </c>
      <c r="C358" s="115">
        <v>0.0012525217982988267</v>
      </c>
      <c r="D358" s="112" t="b">
        <v>1</v>
      </c>
      <c r="E358" s="112" t="b">
        <v>0</v>
      </c>
      <c r="F358" s="112" t="b">
        <v>0</v>
      </c>
      <c r="G358" s="112" t="s">
        <v>3521</v>
      </c>
    </row>
    <row r="359" spans="1:7" ht="15">
      <c r="A359" s="114" t="s">
        <v>3025</v>
      </c>
      <c r="B359" s="112">
        <v>2</v>
      </c>
      <c r="C359" s="115">
        <v>0.0012525217982988267</v>
      </c>
      <c r="D359" s="112" t="b">
        <v>1</v>
      </c>
      <c r="E359" s="112" t="b">
        <v>0</v>
      </c>
      <c r="F359" s="112" t="b">
        <v>0</v>
      </c>
      <c r="G359" s="112" t="s">
        <v>3521</v>
      </c>
    </row>
    <row r="360" spans="1:7" ht="15">
      <c r="A360" s="114" t="s">
        <v>2963</v>
      </c>
      <c r="B360" s="112">
        <v>2</v>
      </c>
      <c r="C360" s="115">
        <v>0.0012525217982988267</v>
      </c>
      <c r="D360" s="112" t="b">
        <v>0</v>
      </c>
      <c r="E360" s="112" t="b">
        <v>0</v>
      </c>
      <c r="F360" s="112" t="b">
        <v>0</v>
      </c>
      <c r="G360" s="112" t="s">
        <v>3521</v>
      </c>
    </row>
    <row r="361" spans="1:7" ht="15">
      <c r="A361" s="114" t="s">
        <v>345</v>
      </c>
      <c r="B361" s="112">
        <v>2</v>
      </c>
      <c r="C361" s="115">
        <v>0.0012525217982988267</v>
      </c>
      <c r="D361" s="112" t="b">
        <v>0</v>
      </c>
      <c r="E361" s="112" t="b">
        <v>0</v>
      </c>
      <c r="F361" s="112" t="b">
        <v>0</v>
      </c>
      <c r="G361" s="112" t="s">
        <v>3521</v>
      </c>
    </row>
    <row r="362" spans="1:7" ht="15">
      <c r="A362" s="114" t="s">
        <v>2985</v>
      </c>
      <c r="B362" s="112">
        <v>2</v>
      </c>
      <c r="C362" s="115">
        <v>0.0012525217982988267</v>
      </c>
      <c r="D362" s="112" t="b">
        <v>0</v>
      </c>
      <c r="E362" s="112" t="b">
        <v>0</v>
      </c>
      <c r="F362" s="112" t="b">
        <v>0</v>
      </c>
      <c r="G362" s="112" t="s">
        <v>3521</v>
      </c>
    </row>
    <row r="363" spans="1:7" ht="15">
      <c r="A363" s="114" t="s">
        <v>2899</v>
      </c>
      <c r="B363" s="112">
        <v>2</v>
      </c>
      <c r="C363" s="115">
        <v>0.0014420872867522152</v>
      </c>
      <c r="D363" s="112" t="b">
        <v>0</v>
      </c>
      <c r="E363" s="112" t="b">
        <v>0</v>
      </c>
      <c r="F363" s="112" t="b">
        <v>0</v>
      </c>
      <c r="G363" s="112" t="s">
        <v>3521</v>
      </c>
    </row>
    <row r="364" spans="1:7" ht="15">
      <c r="A364" s="114" t="s">
        <v>2939</v>
      </c>
      <c r="B364" s="112">
        <v>2</v>
      </c>
      <c r="C364" s="115">
        <v>0.0012525217982988267</v>
      </c>
      <c r="D364" s="112" t="b">
        <v>0</v>
      </c>
      <c r="E364" s="112" t="b">
        <v>0</v>
      </c>
      <c r="F364" s="112" t="b">
        <v>0</v>
      </c>
      <c r="G364" s="112" t="s">
        <v>3521</v>
      </c>
    </row>
    <row r="365" spans="1:7" ht="15">
      <c r="A365" s="114" t="s">
        <v>2802</v>
      </c>
      <c r="B365" s="112">
        <v>2</v>
      </c>
      <c r="C365" s="115">
        <v>0.0012525217982988267</v>
      </c>
      <c r="D365" s="112" t="b">
        <v>0</v>
      </c>
      <c r="E365" s="112" t="b">
        <v>0</v>
      </c>
      <c r="F365" s="112" t="b">
        <v>0</v>
      </c>
      <c r="G365" s="112" t="s">
        <v>3521</v>
      </c>
    </row>
    <row r="366" spans="1:7" ht="15">
      <c r="A366" s="114" t="s">
        <v>2865</v>
      </c>
      <c r="B366" s="112">
        <v>2</v>
      </c>
      <c r="C366" s="115">
        <v>0.0014420872867522152</v>
      </c>
      <c r="D366" s="112" t="b">
        <v>0</v>
      </c>
      <c r="E366" s="112" t="b">
        <v>0</v>
      </c>
      <c r="F366" s="112" t="b">
        <v>0</v>
      </c>
      <c r="G366" s="112" t="s">
        <v>3521</v>
      </c>
    </row>
    <row r="367" spans="1:7" ht="15">
      <c r="A367" s="114" t="s">
        <v>2956</v>
      </c>
      <c r="B367" s="112">
        <v>2</v>
      </c>
      <c r="C367" s="115">
        <v>0.0014420872867522152</v>
      </c>
      <c r="D367" s="112" t="b">
        <v>0</v>
      </c>
      <c r="E367" s="112" t="b">
        <v>0</v>
      </c>
      <c r="F367" s="112" t="b">
        <v>0</v>
      </c>
      <c r="G367" s="112" t="s">
        <v>3521</v>
      </c>
    </row>
    <row r="368" spans="1:7" ht="15">
      <c r="A368" s="114" t="s">
        <v>2746</v>
      </c>
      <c r="B368" s="112">
        <v>2</v>
      </c>
      <c r="C368" s="115">
        <v>0.0012525217982988267</v>
      </c>
      <c r="D368" s="112" t="b">
        <v>0</v>
      </c>
      <c r="E368" s="112" t="b">
        <v>0</v>
      </c>
      <c r="F368" s="112" t="b">
        <v>0</v>
      </c>
      <c r="G368" s="112" t="s">
        <v>3521</v>
      </c>
    </row>
    <row r="369" spans="1:7" ht="15">
      <c r="A369" s="114" t="s">
        <v>2924</v>
      </c>
      <c r="B369" s="112">
        <v>2</v>
      </c>
      <c r="C369" s="115">
        <v>0.0012525217982988267</v>
      </c>
      <c r="D369" s="112" t="b">
        <v>0</v>
      </c>
      <c r="E369" s="112" t="b">
        <v>1</v>
      </c>
      <c r="F369" s="112" t="b">
        <v>0</v>
      </c>
      <c r="G369" s="112" t="s">
        <v>3521</v>
      </c>
    </row>
    <row r="370" spans="1:7" ht="15">
      <c r="A370" s="114" t="s">
        <v>3007</v>
      </c>
      <c r="B370" s="112">
        <v>2</v>
      </c>
      <c r="C370" s="115">
        <v>0.0012525217982988267</v>
      </c>
      <c r="D370" s="112" t="b">
        <v>0</v>
      </c>
      <c r="E370" s="112" t="b">
        <v>0</v>
      </c>
      <c r="F370" s="112" t="b">
        <v>0</v>
      </c>
      <c r="G370" s="112" t="s">
        <v>3521</v>
      </c>
    </row>
    <row r="371" spans="1:7" ht="15">
      <c r="A371" s="114" t="s">
        <v>2901</v>
      </c>
      <c r="B371" s="112">
        <v>2</v>
      </c>
      <c r="C371" s="115">
        <v>0.0012525217982988267</v>
      </c>
      <c r="D371" s="112" t="b">
        <v>0</v>
      </c>
      <c r="E371" s="112" t="b">
        <v>0</v>
      </c>
      <c r="F371" s="112" t="b">
        <v>0</v>
      </c>
      <c r="G371" s="112" t="s">
        <v>3521</v>
      </c>
    </row>
    <row r="372" spans="1:7" ht="15">
      <c r="A372" s="114" t="s">
        <v>2898</v>
      </c>
      <c r="B372" s="112">
        <v>2</v>
      </c>
      <c r="C372" s="115">
        <v>0.0012525217982988267</v>
      </c>
      <c r="D372" s="112" t="b">
        <v>0</v>
      </c>
      <c r="E372" s="112" t="b">
        <v>1</v>
      </c>
      <c r="F372" s="112" t="b">
        <v>0</v>
      </c>
      <c r="G372" s="112" t="s">
        <v>3521</v>
      </c>
    </row>
    <row r="373" spans="1:7" ht="15">
      <c r="A373" s="114" t="s">
        <v>2877</v>
      </c>
      <c r="B373" s="112">
        <v>2</v>
      </c>
      <c r="C373" s="115">
        <v>0.0012525217982988267</v>
      </c>
      <c r="D373" s="112" t="b">
        <v>0</v>
      </c>
      <c r="E373" s="112" t="b">
        <v>0</v>
      </c>
      <c r="F373" s="112" t="b">
        <v>0</v>
      </c>
      <c r="G373" s="112" t="s">
        <v>3521</v>
      </c>
    </row>
    <row r="374" spans="1:7" ht="15">
      <c r="A374" s="114" t="s">
        <v>3009</v>
      </c>
      <c r="B374" s="112">
        <v>2</v>
      </c>
      <c r="C374" s="115">
        <v>0.0012525217982988267</v>
      </c>
      <c r="D374" s="112" t="b">
        <v>0</v>
      </c>
      <c r="E374" s="112" t="b">
        <v>0</v>
      </c>
      <c r="F374" s="112" t="b">
        <v>0</v>
      </c>
      <c r="G374" s="112" t="s">
        <v>3521</v>
      </c>
    </row>
    <row r="375" spans="1:7" ht="15">
      <c r="A375" s="114" t="s">
        <v>2974</v>
      </c>
      <c r="B375" s="112">
        <v>2</v>
      </c>
      <c r="C375" s="115">
        <v>0.0012525217982988267</v>
      </c>
      <c r="D375" s="112" t="b">
        <v>0</v>
      </c>
      <c r="E375" s="112" t="b">
        <v>0</v>
      </c>
      <c r="F375" s="112" t="b">
        <v>0</v>
      </c>
      <c r="G375" s="112" t="s">
        <v>3521</v>
      </c>
    </row>
    <row r="376" spans="1:7" ht="15">
      <c r="A376" s="114" t="s">
        <v>2986</v>
      </c>
      <c r="B376" s="112">
        <v>2</v>
      </c>
      <c r="C376" s="115">
        <v>0.0012525217982988267</v>
      </c>
      <c r="D376" s="112" t="b">
        <v>0</v>
      </c>
      <c r="E376" s="112" t="b">
        <v>0</v>
      </c>
      <c r="F376" s="112" t="b">
        <v>0</v>
      </c>
      <c r="G376" s="112" t="s">
        <v>3521</v>
      </c>
    </row>
    <row r="377" spans="1:7" ht="15">
      <c r="A377" s="114" t="s">
        <v>2868</v>
      </c>
      <c r="B377" s="112">
        <v>2</v>
      </c>
      <c r="C377" s="115">
        <v>0.0014420872867522152</v>
      </c>
      <c r="D377" s="112" t="b">
        <v>0</v>
      </c>
      <c r="E377" s="112" t="b">
        <v>1</v>
      </c>
      <c r="F377" s="112" t="b">
        <v>0</v>
      </c>
      <c r="G377" s="112" t="s">
        <v>3521</v>
      </c>
    </row>
    <row r="378" spans="1:7" ht="15">
      <c r="A378" s="114" t="s">
        <v>2895</v>
      </c>
      <c r="B378" s="112">
        <v>2</v>
      </c>
      <c r="C378" s="115">
        <v>0.0012525217982988267</v>
      </c>
      <c r="D378" s="112" t="b">
        <v>0</v>
      </c>
      <c r="E378" s="112" t="b">
        <v>0</v>
      </c>
      <c r="F378" s="112" t="b">
        <v>0</v>
      </c>
      <c r="G378" s="112" t="s">
        <v>3521</v>
      </c>
    </row>
    <row r="379" spans="1:7" ht="15">
      <c r="A379" s="114" t="s">
        <v>2891</v>
      </c>
      <c r="B379" s="112">
        <v>2</v>
      </c>
      <c r="C379" s="115">
        <v>0.0012525217982988267</v>
      </c>
      <c r="D379" s="112" t="b">
        <v>0</v>
      </c>
      <c r="E379" s="112" t="b">
        <v>0</v>
      </c>
      <c r="F379" s="112" t="b">
        <v>0</v>
      </c>
      <c r="G379" s="112" t="s">
        <v>3521</v>
      </c>
    </row>
    <row r="380" spans="1:7" ht="15">
      <c r="A380" s="114" t="s">
        <v>2992</v>
      </c>
      <c r="B380" s="112">
        <v>2</v>
      </c>
      <c r="C380" s="115">
        <v>0.0012525217982988267</v>
      </c>
      <c r="D380" s="112" t="b">
        <v>0</v>
      </c>
      <c r="E380" s="112" t="b">
        <v>0</v>
      </c>
      <c r="F380" s="112" t="b">
        <v>0</v>
      </c>
      <c r="G380" s="112" t="s">
        <v>3521</v>
      </c>
    </row>
    <row r="381" spans="1:7" ht="15">
      <c r="A381" s="114" t="s">
        <v>2799</v>
      </c>
      <c r="B381" s="112">
        <v>2</v>
      </c>
      <c r="C381" s="115">
        <v>0.0012525217982988267</v>
      </c>
      <c r="D381" s="112" t="b">
        <v>0</v>
      </c>
      <c r="E381" s="112" t="b">
        <v>0</v>
      </c>
      <c r="F381" s="112" t="b">
        <v>0</v>
      </c>
      <c r="G381" s="112" t="s">
        <v>3521</v>
      </c>
    </row>
    <row r="382" spans="1:7" ht="15">
      <c r="A382" s="114" t="s">
        <v>2938</v>
      </c>
      <c r="B382" s="112">
        <v>2</v>
      </c>
      <c r="C382" s="115">
        <v>0.0014420872867522152</v>
      </c>
      <c r="D382" s="112" t="b">
        <v>0</v>
      </c>
      <c r="E382" s="112" t="b">
        <v>0</v>
      </c>
      <c r="F382" s="112" t="b">
        <v>0</v>
      </c>
      <c r="G382" s="112" t="s">
        <v>3521</v>
      </c>
    </row>
    <row r="383" spans="1:7" ht="15">
      <c r="A383" s="114" t="s">
        <v>2922</v>
      </c>
      <c r="B383" s="112">
        <v>2</v>
      </c>
      <c r="C383" s="115">
        <v>0.0012525217982988267</v>
      </c>
      <c r="D383" s="112" t="b">
        <v>0</v>
      </c>
      <c r="E383" s="112" t="b">
        <v>1</v>
      </c>
      <c r="F383" s="112" t="b">
        <v>0</v>
      </c>
      <c r="G383" s="112" t="s">
        <v>3521</v>
      </c>
    </row>
    <row r="384" spans="1:7" ht="15">
      <c r="A384" s="114" t="s">
        <v>2798</v>
      </c>
      <c r="B384" s="112">
        <v>2</v>
      </c>
      <c r="C384" s="115">
        <v>0.0012525217982988267</v>
      </c>
      <c r="D384" s="112" t="b">
        <v>0</v>
      </c>
      <c r="E384" s="112" t="b">
        <v>0</v>
      </c>
      <c r="F384" s="112" t="b">
        <v>0</v>
      </c>
      <c r="G384" s="112" t="s">
        <v>3521</v>
      </c>
    </row>
    <row r="385" spans="1:7" ht="15">
      <c r="A385" s="114" t="s">
        <v>2822</v>
      </c>
      <c r="B385" s="112">
        <v>2</v>
      </c>
      <c r="C385" s="115">
        <v>0.0012525217982988267</v>
      </c>
      <c r="D385" s="112" t="b">
        <v>1</v>
      </c>
      <c r="E385" s="112" t="b">
        <v>0</v>
      </c>
      <c r="F385" s="112" t="b">
        <v>0</v>
      </c>
      <c r="G385" s="112" t="s">
        <v>3521</v>
      </c>
    </row>
    <row r="386" spans="1:7" ht="15">
      <c r="A386" s="114" t="s">
        <v>3006</v>
      </c>
      <c r="B386" s="112">
        <v>2</v>
      </c>
      <c r="C386" s="115">
        <v>0.0012525217982988267</v>
      </c>
      <c r="D386" s="112" t="b">
        <v>0</v>
      </c>
      <c r="E386" s="112" t="b">
        <v>1</v>
      </c>
      <c r="F386" s="112" t="b">
        <v>0</v>
      </c>
      <c r="G386" s="112" t="s">
        <v>3521</v>
      </c>
    </row>
    <row r="387" spans="1:7" ht="15">
      <c r="A387" s="114" t="s">
        <v>3017</v>
      </c>
      <c r="B387" s="112">
        <v>2</v>
      </c>
      <c r="C387" s="115">
        <v>0.0012525217982988267</v>
      </c>
      <c r="D387" s="112" t="b">
        <v>0</v>
      </c>
      <c r="E387" s="112" t="b">
        <v>0</v>
      </c>
      <c r="F387" s="112" t="b">
        <v>0</v>
      </c>
      <c r="G387" s="112" t="s">
        <v>3521</v>
      </c>
    </row>
    <row r="388" spans="1:7" ht="15">
      <c r="A388" s="114" t="s">
        <v>3027</v>
      </c>
      <c r="B388" s="112">
        <v>2</v>
      </c>
      <c r="C388" s="115">
        <v>0.0012525217982988267</v>
      </c>
      <c r="D388" s="112" t="b">
        <v>0</v>
      </c>
      <c r="E388" s="112" t="b">
        <v>1</v>
      </c>
      <c r="F388" s="112" t="b">
        <v>0</v>
      </c>
      <c r="G388" s="112" t="s">
        <v>3521</v>
      </c>
    </row>
    <row r="389" spans="1:7" ht="15">
      <c r="A389" s="114" t="s">
        <v>2973</v>
      </c>
      <c r="B389" s="112">
        <v>2</v>
      </c>
      <c r="C389" s="115">
        <v>0.0012525217982988267</v>
      </c>
      <c r="D389" s="112" t="b">
        <v>0</v>
      </c>
      <c r="E389" s="112" t="b">
        <v>0</v>
      </c>
      <c r="F389" s="112" t="b">
        <v>0</v>
      </c>
      <c r="G389" s="112" t="s">
        <v>3521</v>
      </c>
    </row>
    <row r="390" spans="1:7" ht="15">
      <c r="A390" s="114" t="s">
        <v>2953</v>
      </c>
      <c r="B390" s="112">
        <v>2</v>
      </c>
      <c r="C390" s="115">
        <v>0.0014420872867522152</v>
      </c>
      <c r="D390" s="112" t="b">
        <v>0</v>
      </c>
      <c r="E390" s="112" t="b">
        <v>0</v>
      </c>
      <c r="F390" s="112" t="b">
        <v>0</v>
      </c>
      <c r="G390" s="112" t="s">
        <v>3521</v>
      </c>
    </row>
    <row r="391" spans="1:7" ht="15">
      <c r="A391" s="114" t="s">
        <v>2923</v>
      </c>
      <c r="B391" s="112">
        <v>2</v>
      </c>
      <c r="C391" s="115">
        <v>0.0014420872867522152</v>
      </c>
      <c r="D391" s="112" t="b">
        <v>0</v>
      </c>
      <c r="E391" s="112" t="b">
        <v>0</v>
      </c>
      <c r="F391" s="112" t="b">
        <v>0</v>
      </c>
      <c r="G391" s="112" t="s">
        <v>3521</v>
      </c>
    </row>
    <row r="392" spans="1:7" ht="15">
      <c r="A392" s="114" t="s">
        <v>3022</v>
      </c>
      <c r="B392" s="112">
        <v>2</v>
      </c>
      <c r="C392" s="115">
        <v>0.0012525217982988267</v>
      </c>
      <c r="D392" s="112" t="b">
        <v>0</v>
      </c>
      <c r="E392" s="112" t="b">
        <v>0</v>
      </c>
      <c r="F392" s="112" t="b">
        <v>0</v>
      </c>
      <c r="G392" s="112" t="s">
        <v>3521</v>
      </c>
    </row>
    <row r="393" spans="1:7" ht="15">
      <c r="A393" s="114" t="s">
        <v>3001</v>
      </c>
      <c r="B393" s="112">
        <v>2</v>
      </c>
      <c r="C393" s="115">
        <v>0.0012525217982988267</v>
      </c>
      <c r="D393" s="112" t="b">
        <v>0</v>
      </c>
      <c r="E393" s="112" t="b">
        <v>0</v>
      </c>
      <c r="F393" s="112" t="b">
        <v>0</v>
      </c>
      <c r="G393" s="112" t="s">
        <v>3521</v>
      </c>
    </row>
    <row r="394" spans="1:7" ht="15">
      <c r="A394" s="114" t="s">
        <v>2882</v>
      </c>
      <c r="B394" s="112">
        <v>2</v>
      </c>
      <c r="C394" s="115">
        <v>0.0012525217982988267</v>
      </c>
      <c r="D394" s="112" t="b">
        <v>0</v>
      </c>
      <c r="E394" s="112" t="b">
        <v>0</v>
      </c>
      <c r="F394" s="112" t="b">
        <v>0</v>
      </c>
      <c r="G394" s="112" t="s">
        <v>3521</v>
      </c>
    </row>
    <row r="395" spans="1:7" ht="15">
      <c r="A395" s="114" t="s">
        <v>2965</v>
      </c>
      <c r="B395" s="112">
        <v>2</v>
      </c>
      <c r="C395" s="115">
        <v>0.0012525217982988267</v>
      </c>
      <c r="D395" s="112" t="b">
        <v>0</v>
      </c>
      <c r="E395" s="112" t="b">
        <v>0</v>
      </c>
      <c r="F395" s="112" t="b">
        <v>0</v>
      </c>
      <c r="G395" s="112" t="s">
        <v>3521</v>
      </c>
    </row>
    <row r="396" spans="1:7" ht="15">
      <c r="A396" s="114" t="s">
        <v>2838</v>
      </c>
      <c r="B396" s="112">
        <v>2</v>
      </c>
      <c r="C396" s="115">
        <v>0.0014420872867522152</v>
      </c>
      <c r="D396" s="112" t="b">
        <v>0</v>
      </c>
      <c r="E396" s="112" t="b">
        <v>0</v>
      </c>
      <c r="F396" s="112" t="b">
        <v>0</v>
      </c>
      <c r="G396" s="112" t="s">
        <v>3521</v>
      </c>
    </row>
    <row r="397" spans="1:7" ht="15">
      <c r="A397" s="114" t="s">
        <v>2809</v>
      </c>
      <c r="B397" s="112">
        <v>2</v>
      </c>
      <c r="C397" s="115">
        <v>0.0012525217982988267</v>
      </c>
      <c r="D397" s="112" t="b">
        <v>0</v>
      </c>
      <c r="E397" s="112" t="b">
        <v>1</v>
      </c>
      <c r="F397" s="112" t="b">
        <v>0</v>
      </c>
      <c r="G397" s="112" t="s">
        <v>3521</v>
      </c>
    </row>
    <row r="398" spans="1:7" ht="15">
      <c r="A398" s="114" t="s">
        <v>2967</v>
      </c>
      <c r="B398" s="112">
        <v>2</v>
      </c>
      <c r="C398" s="115">
        <v>0.0012525217982988267</v>
      </c>
      <c r="D398" s="112" t="b">
        <v>0</v>
      </c>
      <c r="E398" s="112" t="b">
        <v>0</v>
      </c>
      <c r="F398" s="112" t="b">
        <v>0</v>
      </c>
      <c r="G398" s="112" t="s">
        <v>3521</v>
      </c>
    </row>
    <row r="399" spans="1:7" ht="15">
      <c r="A399" s="114" t="s">
        <v>2995</v>
      </c>
      <c r="B399" s="112">
        <v>2</v>
      </c>
      <c r="C399" s="115">
        <v>0.0012525217982988267</v>
      </c>
      <c r="D399" s="112" t="b">
        <v>0</v>
      </c>
      <c r="E399" s="112" t="b">
        <v>0</v>
      </c>
      <c r="F399" s="112" t="b">
        <v>0</v>
      </c>
      <c r="G399" s="112" t="s">
        <v>3521</v>
      </c>
    </row>
    <row r="400" spans="1:7" ht="15">
      <c r="A400" s="114" t="s">
        <v>2861</v>
      </c>
      <c r="B400" s="112">
        <v>2</v>
      </c>
      <c r="C400" s="115">
        <v>0.0012525217982988267</v>
      </c>
      <c r="D400" s="112" t="b">
        <v>0</v>
      </c>
      <c r="E400" s="112" t="b">
        <v>0</v>
      </c>
      <c r="F400" s="112" t="b">
        <v>0</v>
      </c>
      <c r="G400" s="112" t="s">
        <v>3521</v>
      </c>
    </row>
    <row r="401" spans="1:7" ht="15">
      <c r="A401" s="114" t="s">
        <v>2887</v>
      </c>
      <c r="B401" s="112">
        <v>2</v>
      </c>
      <c r="C401" s="115">
        <v>0.0012525217982988267</v>
      </c>
      <c r="D401" s="112" t="b">
        <v>0</v>
      </c>
      <c r="E401" s="112" t="b">
        <v>1</v>
      </c>
      <c r="F401" s="112" t="b">
        <v>0</v>
      </c>
      <c r="G401" s="112" t="s">
        <v>3521</v>
      </c>
    </row>
    <row r="402" spans="1:7" ht="15">
      <c r="A402" s="114" t="s">
        <v>2906</v>
      </c>
      <c r="B402" s="112">
        <v>2</v>
      </c>
      <c r="C402" s="115">
        <v>0.0014420872867522152</v>
      </c>
      <c r="D402" s="112" t="b">
        <v>0</v>
      </c>
      <c r="E402" s="112" t="b">
        <v>0</v>
      </c>
      <c r="F402" s="112" t="b">
        <v>0</v>
      </c>
      <c r="G402" s="112" t="s">
        <v>3521</v>
      </c>
    </row>
    <row r="403" spans="1:7" ht="15">
      <c r="A403" s="114" t="s">
        <v>2991</v>
      </c>
      <c r="B403" s="112">
        <v>2</v>
      </c>
      <c r="C403" s="115">
        <v>0.0012525217982988267</v>
      </c>
      <c r="D403" s="112" t="b">
        <v>0</v>
      </c>
      <c r="E403" s="112" t="b">
        <v>0</v>
      </c>
      <c r="F403" s="112" t="b">
        <v>0</v>
      </c>
      <c r="G403" s="112" t="s">
        <v>3521</v>
      </c>
    </row>
    <row r="404" spans="1:7" ht="15">
      <c r="A404" s="114" t="s">
        <v>2910</v>
      </c>
      <c r="B404" s="112">
        <v>2</v>
      </c>
      <c r="C404" s="115">
        <v>0.0012525217982988267</v>
      </c>
      <c r="D404" s="112" t="b">
        <v>0</v>
      </c>
      <c r="E404" s="112" t="b">
        <v>0</v>
      </c>
      <c r="F404" s="112" t="b">
        <v>0</v>
      </c>
      <c r="G404" s="112" t="s">
        <v>3521</v>
      </c>
    </row>
    <row r="405" spans="1:7" ht="15">
      <c r="A405" s="114" t="s">
        <v>2989</v>
      </c>
      <c r="B405" s="112">
        <v>2</v>
      </c>
      <c r="C405" s="115">
        <v>0.0014420872867522152</v>
      </c>
      <c r="D405" s="112" t="b">
        <v>0</v>
      </c>
      <c r="E405" s="112" t="b">
        <v>0</v>
      </c>
      <c r="F405" s="112" t="b">
        <v>0</v>
      </c>
      <c r="G405" s="112" t="s">
        <v>3521</v>
      </c>
    </row>
    <row r="406" spans="1:7" ht="15">
      <c r="A406" s="114" t="s">
        <v>2774</v>
      </c>
      <c r="B406" s="112">
        <v>2</v>
      </c>
      <c r="C406" s="115">
        <v>0.0012525217982988267</v>
      </c>
      <c r="D406" s="112" t="b">
        <v>0</v>
      </c>
      <c r="E406" s="112" t="b">
        <v>0</v>
      </c>
      <c r="F406" s="112" t="b">
        <v>0</v>
      </c>
      <c r="G406" s="112" t="s">
        <v>3521</v>
      </c>
    </row>
    <row r="407" spans="1:7" ht="15">
      <c r="A407" s="114" t="s">
        <v>3028</v>
      </c>
      <c r="B407" s="112">
        <v>2</v>
      </c>
      <c r="C407" s="115">
        <v>0.0012525217982988267</v>
      </c>
      <c r="D407" s="112" t="b">
        <v>1</v>
      </c>
      <c r="E407" s="112" t="b">
        <v>0</v>
      </c>
      <c r="F407" s="112" t="b">
        <v>0</v>
      </c>
      <c r="G407" s="112" t="s">
        <v>3521</v>
      </c>
    </row>
    <row r="408" spans="1:7" ht="15">
      <c r="A408" s="114" t="s">
        <v>2766</v>
      </c>
      <c r="B408" s="112">
        <v>2</v>
      </c>
      <c r="C408" s="115">
        <v>0.0012525217982988267</v>
      </c>
      <c r="D408" s="112" t="b">
        <v>0</v>
      </c>
      <c r="E408" s="112" t="b">
        <v>0</v>
      </c>
      <c r="F408" s="112" t="b">
        <v>0</v>
      </c>
      <c r="G408" s="112" t="s">
        <v>3521</v>
      </c>
    </row>
    <row r="409" spans="1:7" ht="15">
      <c r="A409" s="114" t="s">
        <v>2879</v>
      </c>
      <c r="B409" s="112">
        <v>2</v>
      </c>
      <c r="C409" s="115">
        <v>0.0012525217982988267</v>
      </c>
      <c r="D409" s="112" t="b">
        <v>0</v>
      </c>
      <c r="E409" s="112" t="b">
        <v>0</v>
      </c>
      <c r="F409" s="112" t="b">
        <v>0</v>
      </c>
      <c r="G409" s="112" t="s">
        <v>3521</v>
      </c>
    </row>
    <row r="410" spans="1:7" ht="15">
      <c r="A410" s="114" t="s">
        <v>2913</v>
      </c>
      <c r="B410" s="112">
        <v>2</v>
      </c>
      <c r="C410" s="115">
        <v>0.0012525217982988267</v>
      </c>
      <c r="D410" s="112" t="b">
        <v>0</v>
      </c>
      <c r="E410" s="112" t="b">
        <v>0</v>
      </c>
      <c r="F410" s="112" t="b">
        <v>0</v>
      </c>
      <c r="G410" s="112" t="s">
        <v>3521</v>
      </c>
    </row>
    <row r="411" spans="1:7" ht="15">
      <c r="A411" s="114" t="s">
        <v>2981</v>
      </c>
      <c r="B411" s="112">
        <v>2</v>
      </c>
      <c r="C411" s="115">
        <v>0.0012525217982988267</v>
      </c>
      <c r="D411" s="112" t="b">
        <v>0</v>
      </c>
      <c r="E411" s="112" t="b">
        <v>0</v>
      </c>
      <c r="F411" s="112" t="b">
        <v>0</v>
      </c>
      <c r="G411" s="112" t="s">
        <v>3521</v>
      </c>
    </row>
    <row r="412" spans="1:7" ht="15">
      <c r="A412" s="114" t="s">
        <v>2958</v>
      </c>
      <c r="B412" s="112">
        <v>2</v>
      </c>
      <c r="C412" s="115">
        <v>0.0012525217982988267</v>
      </c>
      <c r="D412" s="112" t="b">
        <v>0</v>
      </c>
      <c r="E412" s="112" t="b">
        <v>0</v>
      </c>
      <c r="F412" s="112" t="b">
        <v>0</v>
      </c>
      <c r="G412" s="112" t="s">
        <v>3521</v>
      </c>
    </row>
    <row r="413" spans="1:7" ht="15">
      <c r="A413" s="114" t="s">
        <v>390</v>
      </c>
      <c r="B413" s="112">
        <v>2</v>
      </c>
      <c r="C413" s="115">
        <v>0.0014420872867522152</v>
      </c>
      <c r="D413" s="112" t="b">
        <v>0</v>
      </c>
      <c r="E413" s="112" t="b">
        <v>0</v>
      </c>
      <c r="F413" s="112" t="b">
        <v>0</v>
      </c>
      <c r="G413" s="112" t="s">
        <v>3521</v>
      </c>
    </row>
    <row r="414" spans="1:7" ht="15">
      <c r="A414" s="114" t="s">
        <v>2772</v>
      </c>
      <c r="B414" s="112">
        <v>2</v>
      </c>
      <c r="C414" s="115">
        <v>0.0012525217982988267</v>
      </c>
      <c r="D414" s="112" t="b">
        <v>0</v>
      </c>
      <c r="E414" s="112" t="b">
        <v>1</v>
      </c>
      <c r="F414" s="112" t="b">
        <v>0</v>
      </c>
      <c r="G414" s="112" t="s">
        <v>3521</v>
      </c>
    </row>
    <row r="415" spans="1:7" ht="15">
      <c r="A415" s="114" t="s">
        <v>395</v>
      </c>
      <c r="B415" s="112">
        <v>2</v>
      </c>
      <c r="C415" s="115">
        <v>0.0012525217982988267</v>
      </c>
      <c r="D415" s="112" t="b">
        <v>0</v>
      </c>
      <c r="E415" s="112" t="b">
        <v>0</v>
      </c>
      <c r="F415" s="112" t="b">
        <v>0</v>
      </c>
      <c r="G415" s="112" t="s">
        <v>3521</v>
      </c>
    </row>
    <row r="416" spans="1:7" ht="15">
      <c r="A416" s="114" t="s">
        <v>3016</v>
      </c>
      <c r="B416" s="112">
        <v>2</v>
      </c>
      <c r="C416" s="115">
        <v>0.0012525217982988267</v>
      </c>
      <c r="D416" s="112" t="b">
        <v>0</v>
      </c>
      <c r="E416" s="112" t="b">
        <v>0</v>
      </c>
      <c r="F416" s="112" t="b">
        <v>0</v>
      </c>
      <c r="G416" s="112" t="s">
        <v>3521</v>
      </c>
    </row>
    <row r="417" spans="1:7" ht="15">
      <c r="A417" s="114" t="s">
        <v>270</v>
      </c>
      <c r="B417" s="112">
        <v>2</v>
      </c>
      <c r="C417" s="115">
        <v>0.0012525217982988267</v>
      </c>
      <c r="D417" s="112" t="b">
        <v>0</v>
      </c>
      <c r="E417" s="112" t="b">
        <v>0</v>
      </c>
      <c r="F417" s="112" t="b">
        <v>0</v>
      </c>
      <c r="G417" s="112" t="s">
        <v>3521</v>
      </c>
    </row>
    <row r="418" spans="1:7" ht="15">
      <c r="A418" s="114" t="s">
        <v>2977</v>
      </c>
      <c r="B418" s="112">
        <v>2</v>
      </c>
      <c r="C418" s="115">
        <v>0.0012525217982988267</v>
      </c>
      <c r="D418" s="112" t="b">
        <v>0</v>
      </c>
      <c r="E418" s="112" t="b">
        <v>0</v>
      </c>
      <c r="F418" s="112" t="b">
        <v>0</v>
      </c>
      <c r="G418" s="112" t="s">
        <v>3521</v>
      </c>
    </row>
    <row r="419" spans="1:7" ht="15">
      <c r="A419" s="114" t="s">
        <v>2904</v>
      </c>
      <c r="B419" s="112">
        <v>2</v>
      </c>
      <c r="C419" s="115">
        <v>0.0012525217982988267</v>
      </c>
      <c r="D419" s="112" t="b">
        <v>0</v>
      </c>
      <c r="E419" s="112" t="b">
        <v>0</v>
      </c>
      <c r="F419" s="112" t="b">
        <v>0</v>
      </c>
      <c r="G419" s="112" t="s">
        <v>3521</v>
      </c>
    </row>
    <row r="420" spans="1:7" ht="15">
      <c r="A420" s="114" t="s">
        <v>2979</v>
      </c>
      <c r="B420" s="112">
        <v>2</v>
      </c>
      <c r="C420" s="115">
        <v>0.0012525217982988267</v>
      </c>
      <c r="D420" s="112" t="b">
        <v>0</v>
      </c>
      <c r="E420" s="112" t="b">
        <v>1</v>
      </c>
      <c r="F420" s="112" t="b">
        <v>0</v>
      </c>
      <c r="G420" s="112" t="s">
        <v>3521</v>
      </c>
    </row>
    <row r="421" spans="1:7" ht="15">
      <c r="A421" s="114" t="s">
        <v>3003</v>
      </c>
      <c r="B421" s="112">
        <v>2</v>
      </c>
      <c r="C421" s="115">
        <v>0.0012525217982988267</v>
      </c>
      <c r="D421" s="112" t="b">
        <v>0</v>
      </c>
      <c r="E421" s="112" t="b">
        <v>0</v>
      </c>
      <c r="F421" s="112" t="b">
        <v>0</v>
      </c>
      <c r="G421" s="112" t="s">
        <v>3521</v>
      </c>
    </row>
    <row r="422" spans="1:7" ht="15">
      <c r="A422" s="114" t="s">
        <v>2997</v>
      </c>
      <c r="B422" s="112">
        <v>2</v>
      </c>
      <c r="C422" s="115">
        <v>0.0012525217982988267</v>
      </c>
      <c r="D422" s="112" t="b">
        <v>0</v>
      </c>
      <c r="E422" s="112" t="b">
        <v>0</v>
      </c>
      <c r="F422" s="112" t="b">
        <v>0</v>
      </c>
      <c r="G422" s="112" t="s">
        <v>3521</v>
      </c>
    </row>
    <row r="423" spans="1:7" ht="15">
      <c r="A423" s="114" t="s">
        <v>2988</v>
      </c>
      <c r="B423" s="112">
        <v>2</v>
      </c>
      <c r="C423" s="115">
        <v>0.0012525217982988267</v>
      </c>
      <c r="D423" s="112" t="b">
        <v>0</v>
      </c>
      <c r="E423" s="112" t="b">
        <v>0</v>
      </c>
      <c r="F423" s="112" t="b">
        <v>0</v>
      </c>
      <c r="G423" s="112" t="s">
        <v>3521</v>
      </c>
    </row>
    <row r="424" spans="1:7" ht="15">
      <c r="A424" s="114" t="s">
        <v>2911</v>
      </c>
      <c r="B424" s="112">
        <v>2</v>
      </c>
      <c r="C424" s="115">
        <v>0.0012525217982988267</v>
      </c>
      <c r="D424" s="112" t="b">
        <v>0</v>
      </c>
      <c r="E424" s="112" t="b">
        <v>0</v>
      </c>
      <c r="F424" s="112" t="b">
        <v>0</v>
      </c>
      <c r="G424" s="112" t="s">
        <v>3521</v>
      </c>
    </row>
    <row r="425" spans="1:7" ht="15">
      <c r="A425" s="114" t="s">
        <v>2925</v>
      </c>
      <c r="B425" s="112">
        <v>2</v>
      </c>
      <c r="C425" s="115">
        <v>0.0012525217982988267</v>
      </c>
      <c r="D425" s="112" t="b">
        <v>0</v>
      </c>
      <c r="E425" s="112" t="b">
        <v>0</v>
      </c>
      <c r="F425" s="112" t="b">
        <v>0</v>
      </c>
      <c r="G425" s="112" t="s">
        <v>3521</v>
      </c>
    </row>
    <row r="426" spans="1:7" ht="15">
      <c r="A426" s="114" t="s">
        <v>2894</v>
      </c>
      <c r="B426" s="112">
        <v>2</v>
      </c>
      <c r="C426" s="115">
        <v>0.0014420872867522152</v>
      </c>
      <c r="D426" s="112" t="b">
        <v>0</v>
      </c>
      <c r="E426" s="112" t="b">
        <v>0</v>
      </c>
      <c r="F426" s="112" t="b">
        <v>0</v>
      </c>
      <c r="G426" s="112" t="s">
        <v>3521</v>
      </c>
    </row>
    <row r="427" spans="1:7" ht="15">
      <c r="A427" s="114" t="s">
        <v>400</v>
      </c>
      <c r="B427" s="112">
        <v>2</v>
      </c>
      <c r="C427" s="115">
        <v>0.0012525217982988267</v>
      </c>
      <c r="D427" s="112" t="b">
        <v>0</v>
      </c>
      <c r="E427" s="112" t="b">
        <v>0</v>
      </c>
      <c r="F427" s="112" t="b">
        <v>0</v>
      </c>
      <c r="G427" s="112" t="s">
        <v>3521</v>
      </c>
    </row>
    <row r="428" spans="1:7" ht="15">
      <c r="A428" s="114" t="s">
        <v>2921</v>
      </c>
      <c r="B428" s="112">
        <v>2</v>
      </c>
      <c r="C428" s="115">
        <v>0.0012525217982988267</v>
      </c>
      <c r="D428" s="112" t="b">
        <v>1</v>
      </c>
      <c r="E428" s="112" t="b">
        <v>0</v>
      </c>
      <c r="F428" s="112" t="b">
        <v>0</v>
      </c>
      <c r="G428" s="112" t="s">
        <v>3521</v>
      </c>
    </row>
    <row r="429" spans="1:7" ht="15">
      <c r="A429" s="114" t="s">
        <v>2937</v>
      </c>
      <c r="B429" s="112">
        <v>2</v>
      </c>
      <c r="C429" s="115">
        <v>0.0012525217982988267</v>
      </c>
      <c r="D429" s="112" t="b">
        <v>0</v>
      </c>
      <c r="E429" s="112" t="b">
        <v>0</v>
      </c>
      <c r="F429" s="112" t="b">
        <v>0</v>
      </c>
      <c r="G429" s="112" t="s">
        <v>3521</v>
      </c>
    </row>
    <row r="430" spans="1:7" ht="15">
      <c r="A430" s="114" t="s">
        <v>3021</v>
      </c>
      <c r="B430" s="112">
        <v>2</v>
      </c>
      <c r="C430" s="115">
        <v>0.0012525217982988267</v>
      </c>
      <c r="D430" s="112" t="b">
        <v>1</v>
      </c>
      <c r="E430" s="112" t="b">
        <v>0</v>
      </c>
      <c r="F430" s="112" t="b">
        <v>0</v>
      </c>
      <c r="G430" s="112" t="s">
        <v>3521</v>
      </c>
    </row>
    <row r="431" spans="1:7" ht="15">
      <c r="A431" s="114" t="s">
        <v>2914</v>
      </c>
      <c r="B431" s="112">
        <v>2</v>
      </c>
      <c r="C431" s="115">
        <v>0.0012525217982988267</v>
      </c>
      <c r="D431" s="112" t="b">
        <v>0</v>
      </c>
      <c r="E431" s="112" t="b">
        <v>0</v>
      </c>
      <c r="F431" s="112" t="b">
        <v>0</v>
      </c>
      <c r="G431" s="112" t="s">
        <v>3521</v>
      </c>
    </row>
    <row r="432" spans="1:7" ht="15">
      <c r="A432" s="114" t="s">
        <v>2833</v>
      </c>
      <c r="B432" s="112">
        <v>2</v>
      </c>
      <c r="C432" s="115">
        <v>0.0012525217982988267</v>
      </c>
      <c r="D432" s="112" t="b">
        <v>1</v>
      </c>
      <c r="E432" s="112" t="b">
        <v>0</v>
      </c>
      <c r="F432" s="112" t="b">
        <v>0</v>
      </c>
      <c r="G432" s="112" t="s">
        <v>3521</v>
      </c>
    </row>
    <row r="433" spans="1:7" ht="15">
      <c r="A433" s="114" t="s">
        <v>387</v>
      </c>
      <c r="B433" s="112">
        <v>2</v>
      </c>
      <c r="C433" s="115">
        <v>0.0012525217982988267</v>
      </c>
      <c r="D433" s="112" t="b">
        <v>0</v>
      </c>
      <c r="E433" s="112" t="b">
        <v>0</v>
      </c>
      <c r="F433" s="112" t="b">
        <v>0</v>
      </c>
      <c r="G433" s="112" t="s">
        <v>3521</v>
      </c>
    </row>
    <row r="434" spans="1:7" ht="15">
      <c r="A434" s="114" t="s">
        <v>2994</v>
      </c>
      <c r="B434" s="112">
        <v>2</v>
      </c>
      <c r="C434" s="115">
        <v>0.0012525217982988267</v>
      </c>
      <c r="D434" s="112" t="b">
        <v>0</v>
      </c>
      <c r="E434" s="112" t="b">
        <v>0</v>
      </c>
      <c r="F434" s="112" t="b">
        <v>0</v>
      </c>
      <c r="G434" s="112" t="s">
        <v>3521</v>
      </c>
    </row>
    <row r="435" spans="1:7" ht="15">
      <c r="A435" s="114" t="s">
        <v>2940</v>
      </c>
      <c r="B435" s="112">
        <v>2</v>
      </c>
      <c r="C435" s="115">
        <v>0.0012525217982988267</v>
      </c>
      <c r="D435" s="112" t="b">
        <v>0</v>
      </c>
      <c r="E435" s="112" t="b">
        <v>0</v>
      </c>
      <c r="F435" s="112" t="b">
        <v>0</v>
      </c>
      <c r="G435" s="112" t="s">
        <v>3521</v>
      </c>
    </row>
    <row r="436" spans="1:7" ht="15">
      <c r="A436" s="114" t="s">
        <v>3019</v>
      </c>
      <c r="B436" s="112">
        <v>2</v>
      </c>
      <c r="C436" s="115">
        <v>0.0012525217982988267</v>
      </c>
      <c r="D436" s="112" t="b">
        <v>0</v>
      </c>
      <c r="E436" s="112" t="b">
        <v>0</v>
      </c>
      <c r="F436" s="112" t="b">
        <v>0</v>
      </c>
      <c r="G436" s="112" t="s">
        <v>3521</v>
      </c>
    </row>
    <row r="437" spans="1:7" ht="15">
      <c r="A437" s="114" t="s">
        <v>2864</v>
      </c>
      <c r="B437" s="112">
        <v>2</v>
      </c>
      <c r="C437" s="115">
        <v>0.0012525217982988267</v>
      </c>
      <c r="D437" s="112" t="b">
        <v>0</v>
      </c>
      <c r="E437" s="112" t="b">
        <v>0</v>
      </c>
      <c r="F437" s="112" t="b">
        <v>0</v>
      </c>
      <c r="G437" s="112" t="s">
        <v>3521</v>
      </c>
    </row>
    <row r="438" spans="1:7" ht="15">
      <c r="A438" s="114" t="s">
        <v>2908</v>
      </c>
      <c r="B438" s="112">
        <v>2</v>
      </c>
      <c r="C438" s="115">
        <v>0.0012525217982988267</v>
      </c>
      <c r="D438" s="112" t="b">
        <v>0</v>
      </c>
      <c r="E438" s="112" t="b">
        <v>0</v>
      </c>
      <c r="F438" s="112" t="b">
        <v>0</v>
      </c>
      <c r="G438" s="112" t="s">
        <v>3521</v>
      </c>
    </row>
    <row r="439" spans="1:7" ht="15">
      <c r="A439" s="114" t="s">
        <v>2909</v>
      </c>
      <c r="B439" s="112">
        <v>2</v>
      </c>
      <c r="C439" s="115">
        <v>0.0012525217982988267</v>
      </c>
      <c r="D439" s="112" t="b">
        <v>0</v>
      </c>
      <c r="E439" s="112" t="b">
        <v>0</v>
      </c>
      <c r="F439" s="112" t="b">
        <v>0</v>
      </c>
      <c r="G439" s="112" t="s">
        <v>3521</v>
      </c>
    </row>
    <row r="440" spans="1:7" ht="15">
      <c r="A440" s="114" t="s">
        <v>2814</v>
      </c>
      <c r="B440" s="112">
        <v>2</v>
      </c>
      <c r="C440" s="115">
        <v>0.0012525217982988267</v>
      </c>
      <c r="D440" s="112" t="b">
        <v>1</v>
      </c>
      <c r="E440" s="112" t="b">
        <v>0</v>
      </c>
      <c r="F440" s="112" t="b">
        <v>0</v>
      </c>
      <c r="G440" s="112" t="s">
        <v>3521</v>
      </c>
    </row>
    <row r="441" spans="1:7" ht="15">
      <c r="A441" s="114" t="s">
        <v>2936</v>
      </c>
      <c r="B441" s="112">
        <v>2</v>
      </c>
      <c r="C441" s="115">
        <v>0.0012525217982988267</v>
      </c>
      <c r="D441" s="112" t="b">
        <v>0</v>
      </c>
      <c r="E441" s="112" t="b">
        <v>0</v>
      </c>
      <c r="F441" s="112" t="b">
        <v>0</v>
      </c>
      <c r="G441" s="112" t="s">
        <v>3521</v>
      </c>
    </row>
    <row r="442" spans="1:7" ht="15">
      <c r="A442" s="114" t="s">
        <v>456</v>
      </c>
      <c r="B442" s="112">
        <v>2</v>
      </c>
      <c r="C442" s="115">
        <v>0.0012525217982988267</v>
      </c>
      <c r="D442" s="112" t="b">
        <v>0</v>
      </c>
      <c r="E442" s="112" t="b">
        <v>0</v>
      </c>
      <c r="F442" s="112" t="b">
        <v>0</v>
      </c>
      <c r="G442" s="112" t="s">
        <v>3521</v>
      </c>
    </row>
    <row r="443" spans="1:7" ht="15">
      <c r="A443" s="114" t="s">
        <v>2929</v>
      </c>
      <c r="B443" s="112">
        <v>2</v>
      </c>
      <c r="C443" s="115">
        <v>0.0012525217982988267</v>
      </c>
      <c r="D443" s="112" t="b">
        <v>0</v>
      </c>
      <c r="E443" s="112" t="b">
        <v>0</v>
      </c>
      <c r="F443" s="112" t="b">
        <v>0</v>
      </c>
      <c r="G443" s="112" t="s">
        <v>3521</v>
      </c>
    </row>
    <row r="444" spans="1:7" ht="15">
      <c r="A444" s="114" t="s">
        <v>2434</v>
      </c>
      <c r="B444" s="112">
        <v>2</v>
      </c>
      <c r="C444" s="115">
        <v>0.0012525217982988267</v>
      </c>
      <c r="D444" s="112" t="b">
        <v>0</v>
      </c>
      <c r="E444" s="112" t="b">
        <v>0</v>
      </c>
      <c r="F444" s="112" t="b">
        <v>0</v>
      </c>
      <c r="G444" s="112" t="s">
        <v>3521</v>
      </c>
    </row>
    <row r="445" spans="1:7" ht="15">
      <c r="A445" s="114" t="s">
        <v>2397</v>
      </c>
      <c r="B445" s="112">
        <v>2</v>
      </c>
      <c r="C445" s="115">
        <v>0</v>
      </c>
      <c r="D445" s="112" t="b">
        <v>0</v>
      </c>
      <c r="E445" s="112" t="b">
        <v>0</v>
      </c>
      <c r="F445" s="112" t="b">
        <v>0</v>
      </c>
      <c r="G445" s="112" t="s">
        <v>3178</v>
      </c>
    </row>
    <row r="446" spans="1:7" ht="15">
      <c r="A446" s="114" t="s">
        <v>681</v>
      </c>
      <c r="B446" s="112">
        <v>2</v>
      </c>
      <c r="C446" s="115">
        <v>0</v>
      </c>
      <c r="D446" s="112" t="b">
        <v>1</v>
      </c>
      <c r="E446" s="112" t="b">
        <v>0</v>
      </c>
      <c r="F446" s="112" t="b">
        <v>0</v>
      </c>
      <c r="G446" s="112" t="s">
        <v>3178</v>
      </c>
    </row>
    <row r="447" spans="1:7" ht="15">
      <c r="A447" s="114" t="s">
        <v>2373</v>
      </c>
      <c r="B447" s="112">
        <v>2</v>
      </c>
      <c r="C447" s="115">
        <v>0</v>
      </c>
      <c r="D447" s="112" t="b">
        <v>1</v>
      </c>
      <c r="E447" s="112" t="b">
        <v>0</v>
      </c>
      <c r="F447" s="112" t="b">
        <v>0</v>
      </c>
      <c r="G447" s="112" t="s">
        <v>3178</v>
      </c>
    </row>
    <row r="448" spans="1:7" ht="15">
      <c r="A448" s="114" t="s">
        <v>2971</v>
      </c>
      <c r="B448" s="112">
        <v>2</v>
      </c>
      <c r="C448" s="115">
        <v>0.007342195016194664</v>
      </c>
      <c r="D448" s="112" t="b">
        <v>0</v>
      </c>
      <c r="E448" s="112" t="b">
        <v>0</v>
      </c>
      <c r="F448" s="112" t="b">
        <v>0</v>
      </c>
      <c r="G448" s="112" t="s">
        <v>3178</v>
      </c>
    </row>
    <row r="449" spans="1:7" ht="15">
      <c r="A449" s="114" t="s">
        <v>2867</v>
      </c>
      <c r="B449" s="112">
        <v>2</v>
      </c>
      <c r="C449" s="115">
        <v>0.007342195016194664</v>
      </c>
      <c r="D449" s="112" t="b">
        <v>0</v>
      </c>
      <c r="E449" s="112" t="b">
        <v>0</v>
      </c>
      <c r="F449" s="112" t="b">
        <v>0</v>
      </c>
      <c r="G449" s="112" t="s">
        <v>3178</v>
      </c>
    </row>
    <row r="450" spans="1:7" ht="15">
      <c r="A450" s="114" t="s">
        <v>456</v>
      </c>
      <c r="B450" s="112">
        <v>2</v>
      </c>
      <c r="C450" s="115">
        <v>0</v>
      </c>
      <c r="D450" s="112" t="b">
        <v>0</v>
      </c>
      <c r="E450" s="112" t="b">
        <v>0</v>
      </c>
      <c r="F450" s="112" t="b">
        <v>0</v>
      </c>
      <c r="G450" s="112" t="s">
        <v>3178</v>
      </c>
    </row>
    <row r="451" spans="1:7" ht="15">
      <c r="A451" s="114" t="s">
        <v>2374</v>
      </c>
      <c r="B451" s="112">
        <v>2</v>
      </c>
      <c r="C451" s="115">
        <v>0</v>
      </c>
      <c r="D451" s="112" t="b">
        <v>1</v>
      </c>
      <c r="E451" s="112" t="b">
        <v>0</v>
      </c>
      <c r="F451" s="112" t="b">
        <v>0</v>
      </c>
      <c r="G451" s="112" t="s">
        <v>3178</v>
      </c>
    </row>
    <row r="452" spans="1:7" ht="15">
      <c r="A452" s="114" t="s">
        <v>2374</v>
      </c>
      <c r="B452" s="112">
        <v>10</v>
      </c>
      <c r="C452" s="115">
        <v>0.002213512575306154</v>
      </c>
      <c r="D452" s="112" t="b">
        <v>1</v>
      </c>
      <c r="E452" s="112" t="b">
        <v>0</v>
      </c>
      <c r="F452" s="112" t="b">
        <v>0</v>
      </c>
      <c r="G452" s="112" t="s">
        <v>3179</v>
      </c>
    </row>
    <row r="453" spans="1:7" ht="15">
      <c r="A453" s="114" t="s">
        <v>2373</v>
      </c>
      <c r="B453" s="112">
        <v>10</v>
      </c>
      <c r="C453" s="115">
        <v>0.002213512575306154</v>
      </c>
      <c r="D453" s="112" t="b">
        <v>1</v>
      </c>
      <c r="E453" s="112" t="b">
        <v>0</v>
      </c>
      <c r="F453" s="112" t="b">
        <v>0</v>
      </c>
      <c r="G453" s="112" t="s">
        <v>3179</v>
      </c>
    </row>
    <row r="454" spans="1:7" ht="15">
      <c r="A454" s="114" t="s">
        <v>681</v>
      </c>
      <c r="B454" s="112">
        <v>10</v>
      </c>
      <c r="C454" s="115">
        <v>0.002213512575306154</v>
      </c>
      <c r="D454" s="112" t="b">
        <v>1</v>
      </c>
      <c r="E454" s="112" t="b">
        <v>0</v>
      </c>
      <c r="F454" s="112" t="b">
        <v>0</v>
      </c>
      <c r="G454" s="112" t="s">
        <v>3179</v>
      </c>
    </row>
    <row r="455" spans="1:7" ht="15">
      <c r="A455" s="114" t="s">
        <v>2379</v>
      </c>
      <c r="B455" s="112">
        <v>4</v>
      </c>
      <c r="C455" s="115">
        <v>0.009397490777117917</v>
      </c>
      <c r="D455" s="112" t="b">
        <v>0</v>
      </c>
      <c r="E455" s="112" t="b">
        <v>0</v>
      </c>
      <c r="F455" s="112" t="b">
        <v>0</v>
      </c>
      <c r="G455" s="112" t="s">
        <v>3179</v>
      </c>
    </row>
    <row r="456" spans="1:7" ht="15">
      <c r="A456" s="114" t="s">
        <v>2380</v>
      </c>
      <c r="B456" s="112">
        <v>4</v>
      </c>
      <c r="C456" s="115">
        <v>0.009397490777117917</v>
      </c>
      <c r="D456" s="112" t="b">
        <v>0</v>
      </c>
      <c r="E456" s="112" t="b">
        <v>0</v>
      </c>
      <c r="F456" s="112" t="b">
        <v>0</v>
      </c>
      <c r="G456" s="112" t="s">
        <v>3179</v>
      </c>
    </row>
    <row r="457" spans="1:7" ht="15">
      <c r="A457" s="114" t="s">
        <v>2639</v>
      </c>
      <c r="B457" s="112">
        <v>4</v>
      </c>
      <c r="C457" s="115">
        <v>0.009397490777117917</v>
      </c>
      <c r="D457" s="112" t="b">
        <v>0</v>
      </c>
      <c r="E457" s="112" t="b">
        <v>0</v>
      </c>
      <c r="F457" s="112" t="b">
        <v>0</v>
      </c>
      <c r="G457" s="112" t="s">
        <v>3179</v>
      </c>
    </row>
    <row r="458" spans="1:7" ht="15">
      <c r="A458" s="114" t="s">
        <v>2677</v>
      </c>
      <c r="B458" s="112">
        <v>4</v>
      </c>
      <c r="C458" s="115">
        <v>0.009397490777117917</v>
      </c>
      <c r="D458" s="112" t="b">
        <v>0</v>
      </c>
      <c r="E458" s="112" t="b">
        <v>0</v>
      </c>
      <c r="F458" s="112" t="b">
        <v>0</v>
      </c>
      <c r="G458" s="112" t="s">
        <v>3179</v>
      </c>
    </row>
    <row r="459" spans="1:7" ht="15">
      <c r="A459" s="114" t="s">
        <v>2758</v>
      </c>
      <c r="B459" s="112">
        <v>3</v>
      </c>
      <c r="C459" s="115">
        <v>0.011877476302046695</v>
      </c>
      <c r="D459" s="112" t="b">
        <v>0</v>
      </c>
      <c r="E459" s="112" t="b">
        <v>0</v>
      </c>
      <c r="F459" s="112" t="b">
        <v>0</v>
      </c>
      <c r="G459" s="112" t="s">
        <v>3179</v>
      </c>
    </row>
    <row r="460" spans="1:7" ht="15">
      <c r="A460" s="114" t="s">
        <v>419</v>
      </c>
      <c r="B460" s="112">
        <v>3</v>
      </c>
      <c r="C460" s="115">
        <v>0.011877476302046695</v>
      </c>
      <c r="D460" s="112" t="b">
        <v>0</v>
      </c>
      <c r="E460" s="112" t="b">
        <v>0</v>
      </c>
      <c r="F460" s="112" t="b">
        <v>0</v>
      </c>
      <c r="G460" s="112" t="s">
        <v>3179</v>
      </c>
    </row>
    <row r="461" spans="1:7" ht="15">
      <c r="A461" s="114" t="s">
        <v>2796</v>
      </c>
      <c r="B461" s="112">
        <v>2</v>
      </c>
      <c r="C461" s="115">
        <v>0.007918317534697796</v>
      </c>
      <c r="D461" s="112" t="b">
        <v>0</v>
      </c>
      <c r="E461" s="112" t="b">
        <v>1</v>
      </c>
      <c r="F461" s="112" t="b">
        <v>0</v>
      </c>
      <c r="G461" s="112" t="s">
        <v>3179</v>
      </c>
    </row>
    <row r="462" spans="1:7" ht="15">
      <c r="A462" s="114" t="s">
        <v>422</v>
      </c>
      <c r="B462" s="112">
        <v>2</v>
      </c>
      <c r="C462" s="115">
        <v>0.007918317534697796</v>
      </c>
      <c r="D462" s="112" t="b">
        <v>0</v>
      </c>
      <c r="E462" s="112" t="b">
        <v>0</v>
      </c>
      <c r="F462" s="112" t="b">
        <v>0</v>
      </c>
      <c r="G462" s="112" t="s">
        <v>3179</v>
      </c>
    </row>
    <row r="463" spans="1:7" ht="15">
      <c r="A463" s="114" t="s">
        <v>2894</v>
      </c>
      <c r="B463" s="112">
        <v>2</v>
      </c>
      <c r="C463" s="115">
        <v>0.011137889680836632</v>
      </c>
      <c r="D463" s="112" t="b">
        <v>0</v>
      </c>
      <c r="E463" s="112" t="b">
        <v>0</v>
      </c>
      <c r="F463" s="112" t="b">
        <v>0</v>
      </c>
      <c r="G463" s="112" t="s">
        <v>3179</v>
      </c>
    </row>
    <row r="464" spans="1:7" ht="15">
      <c r="A464" s="114" t="s">
        <v>3016</v>
      </c>
      <c r="B464" s="112">
        <v>2</v>
      </c>
      <c r="C464" s="115">
        <v>0.007918317534697796</v>
      </c>
      <c r="D464" s="112" t="b">
        <v>0</v>
      </c>
      <c r="E464" s="112" t="b">
        <v>0</v>
      </c>
      <c r="F464" s="112" t="b">
        <v>0</v>
      </c>
      <c r="G464" s="112" t="s">
        <v>3179</v>
      </c>
    </row>
    <row r="465" spans="1:7" ht="15">
      <c r="A465" s="114" t="s">
        <v>412</v>
      </c>
      <c r="B465" s="112">
        <v>2</v>
      </c>
      <c r="C465" s="115">
        <v>0.007918317534697796</v>
      </c>
      <c r="D465" s="112" t="b">
        <v>0</v>
      </c>
      <c r="E465" s="112" t="b">
        <v>0</v>
      </c>
      <c r="F465" s="112" t="b">
        <v>0</v>
      </c>
      <c r="G465" s="112" t="s">
        <v>3179</v>
      </c>
    </row>
    <row r="466" spans="1:7" ht="15">
      <c r="A466" s="114" t="s">
        <v>341</v>
      </c>
      <c r="B466" s="112">
        <v>2</v>
      </c>
      <c r="C466" s="115">
        <v>0.007918317534697796</v>
      </c>
      <c r="D466" s="112" t="b">
        <v>0</v>
      </c>
      <c r="E466" s="112" t="b">
        <v>0</v>
      </c>
      <c r="F466" s="112" t="b">
        <v>0</v>
      </c>
      <c r="G466" s="112" t="s">
        <v>3179</v>
      </c>
    </row>
    <row r="467" spans="1:7" ht="15">
      <c r="A467" s="114" t="s">
        <v>2902</v>
      </c>
      <c r="B467" s="112">
        <v>2</v>
      </c>
      <c r="C467" s="115">
        <v>0.007918317534697796</v>
      </c>
      <c r="D467" s="112" t="b">
        <v>0</v>
      </c>
      <c r="E467" s="112" t="b">
        <v>0</v>
      </c>
      <c r="F467" s="112" t="b">
        <v>0</v>
      </c>
      <c r="G467" s="112" t="s">
        <v>3179</v>
      </c>
    </row>
    <row r="468" spans="1:7" ht="15">
      <c r="A468" s="114" t="s">
        <v>2652</v>
      </c>
      <c r="B468" s="112">
        <v>2</v>
      </c>
      <c r="C468" s="115">
        <v>0.007918317534697796</v>
      </c>
      <c r="D468" s="112" t="b">
        <v>0</v>
      </c>
      <c r="E468" s="112" t="b">
        <v>0</v>
      </c>
      <c r="F468" s="112" t="b">
        <v>0</v>
      </c>
      <c r="G468" s="112" t="s">
        <v>3179</v>
      </c>
    </row>
    <row r="469" spans="1:7" ht="15">
      <c r="A469" s="114" t="s">
        <v>389</v>
      </c>
      <c r="B469" s="112">
        <v>2</v>
      </c>
      <c r="C469" s="115">
        <v>0.007918317534697796</v>
      </c>
      <c r="D469" s="112" t="b">
        <v>0</v>
      </c>
      <c r="E469" s="112" t="b">
        <v>0</v>
      </c>
      <c r="F469" s="112" t="b">
        <v>0</v>
      </c>
      <c r="G469" s="112" t="s">
        <v>3179</v>
      </c>
    </row>
    <row r="470" spans="1:7" ht="15">
      <c r="A470" s="114" t="s">
        <v>2657</v>
      </c>
      <c r="B470" s="112">
        <v>2</v>
      </c>
      <c r="C470" s="115">
        <v>0.007918317534697796</v>
      </c>
      <c r="D470" s="112" t="b">
        <v>0</v>
      </c>
      <c r="E470" s="112" t="b">
        <v>0</v>
      </c>
      <c r="F470" s="112" t="b">
        <v>0</v>
      </c>
      <c r="G470" s="112" t="s">
        <v>3179</v>
      </c>
    </row>
    <row r="471" spans="1:7" ht="15">
      <c r="A471" s="114" t="s">
        <v>2830</v>
      </c>
      <c r="B471" s="112">
        <v>2</v>
      </c>
      <c r="C471" s="115">
        <v>0.011137889680836632</v>
      </c>
      <c r="D471" s="112" t="b">
        <v>0</v>
      </c>
      <c r="E471" s="112" t="b">
        <v>0</v>
      </c>
      <c r="F471" s="112" t="b">
        <v>0</v>
      </c>
      <c r="G471" s="112" t="s">
        <v>3179</v>
      </c>
    </row>
    <row r="472" spans="1:7" ht="15">
      <c r="A472" s="114" t="s">
        <v>2376</v>
      </c>
      <c r="B472" s="112">
        <v>2</v>
      </c>
      <c r="C472" s="115">
        <v>0.007918317534697796</v>
      </c>
      <c r="D472" s="112" t="b">
        <v>0</v>
      </c>
      <c r="E472" s="112" t="b">
        <v>0</v>
      </c>
      <c r="F472" s="112" t="b">
        <v>0</v>
      </c>
      <c r="G472" s="112" t="s">
        <v>3179</v>
      </c>
    </row>
    <row r="473" spans="1:7" ht="15">
      <c r="A473" s="114" t="s">
        <v>2737</v>
      </c>
      <c r="B473" s="112">
        <v>2</v>
      </c>
      <c r="C473" s="115">
        <v>0.011137889680836632</v>
      </c>
      <c r="D473" s="112" t="b">
        <v>1</v>
      </c>
      <c r="E473" s="112" t="b">
        <v>0</v>
      </c>
      <c r="F473" s="112" t="b">
        <v>0</v>
      </c>
      <c r="G473" s="112" t="s">
        <v>3179</v>
      </c>
    </row>
    <row r="474" spans="1:7" ht="15">
      <c r="A474" s="114" t="s">
        <v>2377</v>
      </c>
      <c r="B474" s="112">
        <v>2</v>
      </c>
      <c r="C474" s="115">
        <v>0.007918317534697796</v>
      </c>
      <c r="D474" s="112" t="b">
        <v>0</v>
      </c>
      <c r="E474" s="112" t="b">
        <v>0</v>
      </c>
      <c r="F474" s="112" t="b">
        <v>0</v>
      </c>
      <c r="G474" s="112" t="s">
        <v>3179</v>
      </c>
    </row>
    <row r="475" spans="1:7" ht="15">
      <c r="A475" s="114" t="s">
        <v>2703</v>
      </c>
      <c r="B475" s="112">
        <v>2</v>
      </c>
      <c r="C475" s="115">
        <v>0.007918317534697796</v>
      </c>
      <c r="D475" s="112" t="b">
        <v>0</v>
      </c>
      <c r="E475" s="112" t="b">
        <v>0</v>
      </c>
      <c r="F475" s="112" t="b">
        <v>0</v>
      </c>
      <c r="G475" s="112" t="s">
        <v>3179</v>
      </c>
    </row>
    <row r="476" spans="1:7" ht="15">
      <c r="A476" s="114" t="s">
        <v>424</v>
      </c>
      <c r="B476" s="112">
        <v>2</v>
      </c>
      <c r="C476" s="115">
        <v>0.011137889680836632</v>
      </c>
      <c r="D476" s="112" t="b">
        <v>0</v>
      </c>
      <c r="E476" s="112" t="b">
        <v>0</v>
      </c>
      <c r="F476" s="112" t="b">
        <v>0</v>
      </c>
      <c r="G476" s="112" t="s">
        <v>3179</v>
      </c>
    </row>
    <row r="477" spans="1:7" ht="15">
      <c r="A477" s="114" t="s">
        <v>2678</v>
      </c>
      <c r="B477" s="112">
        <v>2</v>
      </c>
      <c r="C477" s="115">
        <v>0.007918317534697796</v>
      </c>
      <c r="D477" s="112" t="b">
        <v>0</v>
      </c>
      <c r="E477" s="112" t="b">
        <v>0</v>
      </c>
      <c r="F477" s="112" t="b">
        <v>0</v>
      </c>
      <c r="G477" s="112" t="s">
        <v>3179</v>
      </c>
    </row>
    <row r="478" spans="1:7" ht="15">
      <c r="A478" s="114" t="s">
        <v>2693</v>
      </c>
      <c r="B478" s="112">
        <v>2</v>
      </c>
      <c r="C478" s="115">
        <v>0.007918317534697796</v>
      </c>
      <c r="D478" s="112" t="b">
        <v>0</v>
      </c>
      <c r="E478" s="112" t="b">
        <v>0</v>
      </c>
      <c r="F478" s="112" t="b">
        <v>0</v>
      </c>
      <c r="G478" s="112" t="s">
        <v>3179</v>
      </c>
    </row>
    <row r="479" spans="1:7" ht="15">
      <c r="A479" s="114" t="s">
        <v>3000</v>
      </c>
      <c r="B479" s="112">
        <v>2</v>
      </c>
      <c r="C479" s="115">
        <v>0.007918317534697796</v>
      </c>
      <c r="D479" s="112" t="b">
        <v>0</v>
      </c>
      <c r="E479" s="112" t="b">
        <v>0</v>
      </c>
      <c r="F479" s="112" t="b">
        <v>0</v>
      </c>
      <c r="G479" s="112" t="s">
        <v>3179</v>
      </c>
    </row>
    <row r="480" spans="1:7" ht="15">
      <c r="A480" s="114" t="s">
        <v>2374</v>
      </c>
      <c r="B480" s="112">
        <v>13</v>
      </c>
      <c r="C480" s="115">
        <v>0.008737352548564337</v>
      </c>
      <c r="D480" s="112" t="b">
        <v>1</v>
      </c>
      <c r="E480" s="112" t="b">
        <v>0</v>
      </c>
      <c r="F480" s="112" t="b">
        <v>0</v>
      </c>
      <c r="G480" s="112" t="s">
        <v>3180</v>
      </c>
    </row>
    <row r="481" spans="1:7" ht="15">
      <c r="A481" s="114" t="s">
        <v>2373</v>
      </c>
      <c r="B481" s="112">
        <v>13</v>
      </c>
      <c r="C481" s="115">
        <v>0.008737352548564337</v>
      </c>
      <c r="D481" s="112" t="b">
        <v>1</v>
      </c>
      <c r="E481" s="112" t="b">
        <v>0</v>
      </c>
      <c r="F481" s="112" t="b">
        <v>0</v>
      </c>
      <c r="G481" s="112" t="s">
        <v>3180</v>
      </c>
    </row>
    <row r="482" spans="1:7" ht="15">
      <c r="A482" s="114" t="s">
        <v>681</v>
      </c>
      <c r="B482" s="112">
        <v>12</v>
      </c>
      <c r="C482" s="115">
        <v>0.008065248506367079</v>
      </c>
      <c r="D482" s="112" t="b">
        <v>1</v>
      </c>
      <c r="E482" s="112" t="b">
        <v>0</v>
      </c>
      <c r="F482" s="112" t="b">
        <v>0</v>
      </c>
      <c r="G482" s="112" t="s">
        <v>3180</v>
      </c>
    </row>
    <row r="483" spans="1:7" ht="15">
      <c r="A483" s="114" t="s">
        <v>2375</v>
      </c>
      <c r="B483" s="112">
        <v>8</v>
      </c>
      <c r="C483" s="115">
        <v>0.01252441114775723</v>
      </c>
      <c r="D483" s="112" t="b">
        <v>1</v>
      </c>
      <c r="E483" s="112" t="b">
        <v>0</v>
      </c>
      <c r="F483" s="112" t="b">
        <v>0</v>
      </c>
      <c r="G483" s="112" t="s">
        <v>3180</v>
      </c>
    </row>
    <row r="484" spans="1:7" ht="15">
      <c r="A484" s="114" t="s">
        <v>2380</v>
      </c>
      <c r="B484" s="112">
        <v>5</v>
      </c>
      <c r="C484" s="115">
        <v>0.014850214701977933</v>
      </c>
      <c r="D484" s="112" t="b">
        <v>0</v>
      </c>
      <c r="E484" s="112" t="b">
        <v>0</v>
      </c>
      <c r="F484" s="112" t="b">
        <v>0</v>
      </c>
      <c r="G484" s="112" t="s">
        <v>3180</v>
      </c>
    </row>
    <row r="485" spans="1:7" ht="15">
      <c r="A485" s="114" t="s">
        <v>2381</v>
      </c>
      <c r="B485" s="112">
        <v>5</v>
      </c>
      <c r="C485" s="115">
        <v>0.010616459938307008</v>
      </c>
      <c r="D485" s="112" t="b">
        <v>0</v>
      </c>
      <c r="E485" s="112" t="b">
        <v>0</v>
      </c>
      <c r="F485" s="112" t="b">
        <v>0</v>
      </c>
      <c r="G485" s="112" t="s">
        <v>3180</v>
      </c>
    </row>
    <row r="486" spans="1:7" ht="15">
      <c r="A486" s="114" t="s">
        <v>2379</v>
      </c>
      <c r="B486" s="112">
        <v>5</v>
      </c>
      <c r="C486" s="115">
        <v>0.012465887667468391</v>
      </c>
      <c r="D486" s="112" t="b">
        <v>0</v>
      </c>
      <c r="E486" s="112" t="b">
        <v>0</v>
      </c>
      <c r="F486" s="112" t="b">
        <v>0</v>
      </c>
      <c r="G486" s="112" t="s">
        <v>3180</v>
      </c>
    </row>
    <row r="487" spans="1:7" ht="15">
      <c r="A487" s="114" t="s">
        <v>2376</v>
      </c>
      <c r="B487" s="112">
        <v>4</v>
      </c>
      <c r="C487" s="115">
        <v>0.009972710133974712</v>
      </c>
      <c r="D487" s="112" t="b">
        <v>0</v>
      </c>
      <c r="E487" s="112" t="b">
        <v>0</v>
      </c>
      <c r="F487" s="112" t="b">
        <v>0</v>
      </c>
      <c r="G487" s="112" t="s">
        <v>3180</v>
      </c>
    </row>
    <row r="488" spans="1:7" ht="15">
      <c r="A488" s="114" t="s">
        <v>2378</v>
      </c>
      <c r="B488" s="112">
        <v>4</v>
      </c>
      <c r="C488" s="115">
        <v>0.011880171761582346</v>
      </c>
      <c r="D488" s="112" t="b">
        <v>0</v>
      </c>
      <c r="E488" s="112" t="b">
        <v>0</v>
      </c>
      <c r="F488" s="112" t="b">
        <v>0</v>
      </c>
      <c r="G488" s="112" t="s">
        <v>3180</v>
      </c>
    </row>
    <row r="489" spans="1:7" ht="15">
      <c r="A489" s="114" t="s">
        <v>2637</v>
      </c>
      <c r="B489" s="112">
        <v>4</v>
      </c>
      <c r="C489" s="115">
        <v>0.009972710133974712</v>
      </c>
      <c r="D489" s="112" t="b">
        <v>0</v>
      </c>
      <c r="E489" s="112" t="b">
        <v>0</v>
      </c>
      <c r="F489" s="112" t="b">
        <v>0</v>
      </c>
      <c r="G489" s="112" t="s">
        <v>3180</v>
      </c>
    </row>
    <row r="490" spans="1:7" ht="15">
      <c r="A490" s="114" t="s">
        <v>2377</v>
      </c>
      <c r="B490" s="112">
        <v>4</v>
      </c>
      <c r="C490" s="115">
        <v>0.011880171761582346</v>
      </c>
      <c r="D490" s="112" t="b">
        <v>0</v>
      </c>
      <c r="E490" s="112" t="b">
        <v>0</v>
      </c>
      <c r="F490" s="112" t="b">
        <v>0</v>
      </c>
      <c r="G490" s="112" t="s">
        <v>3180</v>
      </c>
    </row>
    <row r="491" spans="1:7" ht="15">
      <c r="A491" s="114" t="s">
        <v>2775</v>
      </c>
      <c r="B491" s="112">
        <v>3</v>
      </c>
      <c r="C491" s="115">
        <v>0.008910128821186759</v>
      </c>
      <c r="D491" s="112" t="b">
        <v>0</v>
      </c>
      <c r="E491" s="112" t="b">
        <v>1</v>
      </c>
      <c r="F491" s="112" t="b">
        <v>0</v>
      </c>
      <c r="G491" s="112" t="s">
        <v>3180</v>
      </c>
    </row>
    <row r="492" spans="1:7" ht="15">
      <c r="A492" s="114" t="s">
        <v>2690</v>
      </c>
      <c r="B492" s="112">
        <v>3</v>
      </c>
      <c r="C492" s="115">
        <v>0.008910128821186759</v>
      </c>
      <c r="D492" s="112" t="b">
        <v>0</v>
      </c>
      <c r="E492" s="112" t="b">
        <v>0</v>
      </c>
      <c r="F492" s="112" t="b">
        <v>0</v>
      </c>
      <c r="G492" s="112" t="s">
        <v>3180</v>
      </c>
    </row>
    <row r="493" spans="1:7" ht="15">
      <c r="A493" s="114" t="s">
        <v>2685</v>
      </c>
      <c r="B493" s="112">
        <v>3</v>
      </c>
      <c r="C493" s="115">
        <v>0.008910128821186759</v>
      </c>
      <c r="D493" s="112" t="b">
        <v>0</v>
      </c>
      <c r="E493" s="112" t="b">
        <v>0</v>
      </c>
      <c r="F493" s="112" t="b">
        <v>0</v>
      </c>
      <c r="G493" s="112" t="s">
        <v>3180</v>
      </c>
    </row>
    <row r="494" spans="1:7" ht="15">
      <c r="A494" s="114" t="s">
        <v>2667</v>
      </c>
      <c r="B494" s="112">
        <v>3</v>
      </c>
      <c r="C494" s="115">
        <v>0.010926440947778528</v>
      </c>
      <c r="D494" s="112" t="b">
        <v>0</v>
      </c>
      <c r="E494" s="112" t="b">
        <v>0</v>
      </c>
      <c r="F494" s="112" t="b">
        <v>0</v>
      </c>
      <c r="G494" s="112" t="s">
        <v>3180</v>
      </c>
    </row>
    <row r="495" spans="1:7" ht="15">
      <c r="A495" s="114" t="s">
        <v>2636</v>
      </c>
      <c r="B495" s="112">
        <v>3</v>
      </c>
      <c r="C495" s="115">
        <v>0.010926440947778528</v>
      </c>
      <c r="D495" s="112" t="b">
        <v>0</v>
      </c>
      <c r="E495" s="112" t="b">
        <v>0</v>
      </c>
      <c r="F495" s="112" t="b">
        <v>0</v>
      </c>
      <c r="G495" s="112" t="s">
        <v>3180</v>
      </c>
    </row>
    <row r="496" spans="1:7" ht="15">
      <c r="A496" s="114" t="s">
        <v>2642</v>
      </c>
      <c r="B496" s="112">
        <v>3</v>
      </c>
      <c r="C496" s="115">
        <v>0.008910128821186759</v>
      </c>
      <c r="D496" s="112" t="b">
        <v>0</v>
      </c>
      <c r="E496" s="112" t="b">
        <v>0</v>
      </c>
      <c r="F496" s="112" t="b">
        <v>0</v>
      </c>
      <c r="G496" s="112" t="s">
        <v>3180</v>
      </c>
    </row>
    <row r="497" spans="1:7" ht="15">
      <c r="A497" s="114" t="s">
        <v>2806</v>
      </c>
      <c r="B497" s="112">
        <v>3</v>
      </c>
      <c r="C497" s="115">
        <v>0.008910128821186759</v>
      </c>
      <c r="D497" s="112" t="b">
        <v>0</v>
      </c>
      <c r="E497" s="112" t="b">
        <v>0</v>
      </c>
      <c r="F497" s="112" t="b">
        <v>0</v>
      </c>
      <c r="G497" s="112" t="s">
        <v>3180</v>
      </c>
    </row>
    <row r="498" spans="1:7" ht="15">
      <c r="A498" s="114" t="s">
        <v>2643</v>
      </c>
      <c r="B498" s="112">
        <v>3</v>
      </c>
      <c r="C498" s="115">
        <v>0.008910128821186759</v>
      </c>
      <c r="D498" s="112" t="b">
        <v>0</v>
      </c>
      <c r="E498" s="112" t="b">
        <v>0</v>
      </c>
      <c r="F498" s="112" t="b">
        <v>0</v>
      </c>
      <c r="G498" s="112" t="s">
        <v>3180</v>
      </c>
    </row>
    <row r="499" spans="1:7" ht="15">
      <c r="A499" s="114" t="s">
        <v>2652</v>
      </c>
      <c r="B499" s="112">
        <v>3</v>
      </c>
      <c r="C499" s="115">
        <v>0.008910128821186759</v>
      </c>
      <c r="D499" s="112" t="b">
        <v>0</v>
      </c>
      <c r="E499" s="112" t="b">
        <v>0</v>
      </c>
      <c r="F499" s="112" t="b">
        <v>0</v>
      </c>
      <c r="G499" s="112" t="s">
        <v>3180</v>
      </c>
    </row>
    <row r="500" spans="1:7" ht="15">
      <c r="A500" s="114" t="s">
        <v>2945</v>
      </c>
      <c r="B500" s="112">
        <v>2</v>
      </c>
      <c r="C500" s="115">
        <v>0.009582232863384015</v>
      </c>
      <c r="D500" s="112" t="b">
        <v>0</v>
      </c>
      <c r="E500" s="112" t="b">
        <v>0</v>
      </c>
      <c r="F500" s="112" t="b">
        <v>0</v>
      </c>
      <c r="G500" s="112" t="s">
        <v>3180</v>
      </c>
    </row>
    <row r="501" spans="1:7" ht="15">
      <c r="A501" s="114" t="s">
        <v>2650</v>
      </c>
      <c r="B501" s="112">
        <v>2</v>
      </c>
      <c r="C501" s="115">
        <v>0.009582232863384015</v>
      </c>
      <c r="D501" s="112" t="b">
        <v>0</v>
      </c>
      <c r="E501" s="112" t="b">
        <v>0</v>
      </c>
      <c r="F501" s="112" t="b">
        <v>0</v>
      </c>
      <c r="G501" s="112" t="s">
        <v>3180</v>
      </c>
    </row>
    <row r="502" spans="1:7" ht="15">
      <c r="A502" s="114" t="s">
        <v>2705</v>
      </c>
      <c r="B502" s="112">
        <v>2</v>
      </c>
      <c r="C502" s="115">
        <v>0.0072842939651856856</v>
      </c>
      <c r="D502" s="112" t="b">
        <v>0</v>
      </c>
      <c r="E502" s="112" t="b">
        <v>0</v>
      </c>
      <c r="F502" s="112" t="b">
        <v>0</v>
      </c>
      <c r="G502" s="112" t="s">
        <v>3180</v>
      </c>
    </row>
    <row r="503" spans="1:7" ht="15">
      <c r="A503" s="114" t="s">
        <v>2959</v>
      </c>
      <c r="B503" s="112">
        <v>2</v>
      </c>
      <c r="C503" s="115">
        <v>0.0072842939651856856</v>
      </c>
      <c r="D503" s="112" t="b">
        <v>0</v>
      </c>
      <c r="E503" s="112" t="b">
        <v>0</v>
      </c>
      <c r="F503" s="112" t="b">
        <v>0</v>
      </c>
      <c r="G503" s="112" t="s">
        <v>3180</v>
      </c>
    </row>
    <row r="504" spans="1:7" ht="15">
      <c r="A504" s="114" t="s">
        <v>2659</v>
      </c>
      <c r="B504" s="112">
        <v>2</v>
      </c>
      <c r="C504" s="115">
        <v>0.0072842939651856856</v>
      </c>
      <c r="D504" s="112" t="b">
        <v>0</v>
      </c>
      <c r="E504" s="112" t="b">
        <v>0</v>
      </c>
      <c r="F504" s="112" t="b">
        <v>0</v>
      </c>
      <c r="G504" s="112" t="s">
        <v>3180</v>
      </c>
    </row>
    <row r="505" spans="1:7" ht="15">
      <c r="A505" s="114" t="s">
        <v>2841</v>
      </c>
      <c r="B505" s="112">
        <v>2</v>
      </c>
      <c r="C505" s="115">
        <v>0.009582232863384015</v>
      </c>
      <c r="D505" s="112" t="b">
        <v>0</v>
      </c>
      <c r="E505" s="112" t="b">
        <v>0</v>
      </c>
      <c r="F505" s="112" t="b">
        <v>0</v>
      </c>
      <c r="G505" s="112" t="s">
        <v>3180</v>
      </c>
    </row>
    <row r="506" spans="1:7" ht="15">
      <c r="A506" s="114" t="s">
        <v>2638</v>
      </c>
      <c r="B506" s="112">
        <v>2</v>
      </c>
      <c r="C506" s="115">
        <v>0.009582232863384015</v>
      </c>
      <c r="D506" s="112" t="b">
        <v>0</v>
      </c>
      <c r="E506" s="112" t="b">
        <v>0</v>
      </c>
      <c r="F506" s="112" t="b">
        <v>0</v>
      </c>
      <c r="G506" s="112" t="s">
        <v>3180</v>
      </c>
    </row>
    <row r="507" spans="1:7" ht="15">
      <c r="A507" s="114" t="s">
        <v>2944</v>
      </c>
      <c r="B507" s="112">
        <v>2</v>
      </c>
      <c r="C507" s="115">
        <v>0.0072842939651856856</v>
      </c>
      <c r="D507" s="112" t="b">
        <v>0</v>
      </c>
      <c r="E507" s="112" t="b">
        <v>0</v>
      </c>
      <c r="F507" s="112" t="b">
        <v>0</v>
      </c>
      <c r="G507" s="112" t="s">
        <v>3180</v>
      </c>
    </row>
    <row r="508" spans="1:7" ht="15">
      <c r="A508" s="114" t="s">
        <v>2658</v>
      </c>
      <c r="B508" s="112">
        <v>2</v>
      </c>
      <c r="C508" s="115">
        <v>0.0072842939651856856</v>
      </c>
      <c r="D508" s="112" t="b">
        <v>0</v>
      </c>
      <c r="E508" s="112" t="b">
        <v>0</v>
      </c>
      <c r="F508" s="112" t="b">
        <v>0</v>
      </c>
      <c r="G508" s="112" t="s">
        <v>3180</v>
      </c>
    </row>
    <row r="509" spans="1:7" ht="15">
      <c r="A509" s="114" t="s">
        <v>2702</v>
      </c>
      <c r="B509" s="112">
        <v>2</v>
      </c>
      <c r="C509" s="115">
        <v>0.009582232863384015</v>
      </c>
      <c r="D509" s="112" t="b">
        <v>0</v>
      </c>
      <c r="E509" s="112" t="b">
        <v>1</v>
      </c>
      <c r="F509" s="112" t="b">
        <v>0</v>
      </c>
      <c r="G509" s="112" t="s">
        <v>3180</v>
      </c>
    </row>
    <row r="510" spans="1:7" ht="15">
      <c r="A510" s="114" t="s">
        <v>2657</v>
      </c>
      <c r="B510" s="112">
        <v>2</v>
      </c>
      <c r="C510" s="115">
        <v>0.0072842939651856856</v>
      </c>
      <c r="D510" s="112" t="b">
        <v>0</v>
      </c>
      <c r="E510" s="112" t="b">
        <v>0</v>
      </c>
      <c r="F510" s="112" t="b">
        <v>0</v>
      </c>
      <c r="G510" s="112" t="s">
        <v>3180</v>
      </c>
    </row>
    <row r="511" spans="1:7" ht="15">
      <c r="A511" s="114" t="s">
        <v>2653</v>
      </c>
      <c r="B511" s="112">
        <v>2</v>
      </c>
      <c r="C511" s="115">
        <v>0.0072842939651856856</v>
      </c>
      <c r="D511" s="112" t="b">
        <v>0</v>
      </c>
      <c r="E511" s="112" t="b">
        <v>0</v>
      </c>
      <c r="F511" s="112" t="b">
        <v>0</v>
      </c>
      <c r="G511" s="112" t="s">
        <v>3180</v>
      </c>
    </row>
    <row r="512" spans="1:7" ht="15">
      <c r="A512" s="114" t="s">
        <v>2686</v>
      </c>
      <c r="B512" s="112">
        <v>2</v>
      </c>
      <c r="C512" s="115">
        <v>0.009582232863384015</v>
      </c>
      <c r="D512" s="112" t="b">
        <v>0</v>
      </c>
      <c r="E512" s="112" t="b">
        <v>0</v>
      </c>
      <c r="F512" s="112" t="b">
        <v>0</v>
      </c>
      <c r="G512" s="112" t="s">
        <v>3180</v>
      </c>
    </row>
    <row r="513" spans="1:7" ht="15">
      <c r="A513" s="114" t="s">
        <v>2836</v>
      </c>
      <c r="B513" s="112">
        <v>2</v>
      </c>
      <c r="C513" s="115">
        <v>0.009582232863384015</v>
      </c>
      <c r="D513" s="112" t="b">
        <v>0</v>
      </c>
      <c r="E513" s="112" t="b">
        <v>0</v>
      </c>
      <c r="F513" s="112" t="b">
        <v>0</v>
      </c>
      <c r="G513" s="112" t="s">
        <v>3180</v>
      </c>
    </row>
    <row r="514" spans="1:7" ht="15">
      <c r="A514" s="114" t="s">
        <v>2900</v>
      </c>
      <c r="B514" s="112">
        <v>2</v>
      </c>
      <c r="C514" s="115">
        <v>0.0072842939651856856</v>
      </c>
      <c r="D514" s="112" t="b">
        <v>0</v>
      </c>
      <c r="E514" s="112" t="b">
        <v>0</v>
      </c>
      <c r="F514" s="112" t="b">
        <v>0</v>
      </c>
      <c r="G514" s="112" t="s">
        <v>3180</v>
      </c>
    </row>
    <row r="515" spans="1:7" ht="15">
      <c r="A515" s="114" t="s">
        <v>2952</v>
      </c>
      <c r="B515" s="112">
        <v>2</v>
      </c>
      <c r="C515" s="115">
        <v>0.0072842939651856856</v>
      </c>
      <c r="D515" s="112" t="b">
        <v>0</v>
      </c>
      <c r="E515" s="112" t="b">
        <v>0</v>
      </c>
      <c r="F515" s="112" t="b">
        <v>0</v>
      </c>
      <c r="G515" s="112" t="s">
        <v>3180</v>
      </c>
    </row>
    <row r="516" spans="1:7" ht="15">
      <c r="A516" s="114" t="s">
        <v>2374</v>
      </c>
      <c r="B516" s="112">
        <v>5</v>
      </c>
      <c r="C516" s="115">
        <v>0.007673683558493413</v>
      </c>
      <c r="D516" s="112" t="b">
        <v>1</v>
      </c>
      <c r="E516" s="112" t="b">
        <v>0</v>
      </c>
      <c r="F516" s="112" t="b">
        <v>0</v>
      </c>
      <c r="G516" s="112" t="s">
        <v>3181</v>
      </c>
    </row>
    <row r="517" spans="1:7" ht="15">
      <c r="A517" s="114" t="s">
        <v>2721</v>
      </c>
      <c r="B517" s="112">
        <v>5</v>
      </c>
      <c r="C517" s="115">
        <v>0.022633834260449712</v>
      </c>
      <c r="D517" s="112" t="b">
        <v>0</v>
      </c>
      <c r="E517" s="112" t="b">
        <v>0</v>
      </c>
      <c r="F517" s="112" t="b">
        <v>0</v>
      </c>
      <c r="G517" s="112" t="s">
        <v>3181</v>
      </c>
    </row>
    <row r="518" spans="1:7" ht="15">
      <c r="A518" s="114" t="s">
        <v>2373</v>
      </c>
      <c r="B518" s="112">
        <v>5</v>
      </c>
      <c r="C518" s="115">
        <v>0.007673683558493413</v>
      </c>
      <c r="D518" s="112" t="b">
        <v>1</v>
      </c>
      <c r="E518" s="112" t="b">
        <v>0</v>
      </c>
      <c r="F518" s="112" t="b">
        <v>0</v>
      </c>
      <c r="G518" s="112" t="s">
        <v>3181</v>
      </c>
    </row>
    <row r="519" spans="1:7" ht="15">
      <c r="A519" s="114" t="s">
        <v>681</v>
      </c>
      <c r="B519" s="112">
        <v>5</v>
      </c>
      <c r="C519" s="115">
        <v>0.007673683558493413</v>
      </c>
      <c r="D519" s="112" t="b">
        <v>1</v>
      </c>
      <c r="E519" s="112" t="b">
        <v>0</v>
      </c>
      <c r="F519" s="112" t="b">
        <v>0</v>
      </c>
      <c r="G519" s="112" t="s">
        <v>3181</v>
      </c>
    </row>
    <row r="520" spans="1:7" ht="15">
      <c r="A520" s="114" t="s">
        <v>334</v>
      </c>
      <c r="B520" s="112">
        <v>4</v>
      </c>
      <c r="C520" s="115">
        <v>0.009053533704179885</v>
      </c>
      <c r="D520" s="112" t="b">
        <v>0</v>
      </c>
      <c r="E520" s="112" t="b">
        <v>0</v>
      </c>
      <c r="F520" s="112" t="b">
        <v>0</v>
      </c>
      <c r="G520" s="112" t="s">
        <v>3181</v>
      </c>
    </row>
    <row r="521" spans="1:7" ht="15">
      <c r="A521" s="114" t="s">
        <v>359</v>
      </c>
      <c r="B521" s="112">
        <v>3</v>
      </c>
      <c r="C521" s="115">
        <v>0.013580300556269827</v>
      </c>
      <c r="D521" s="112" t="b">
        <v>0</v>
      </c>
      <c r="E521" s="112" t="b">
        <v>0</v>
      </c>
      <c r="F521" s="112" t="b">
        <v>0</v>
      </c>
      <c r="G521" s="112" t="s">
        <v>3181</v>
      </c>
    </row>
    <row r="522" spans="1:7" ht="15">
      <c r="A522" s="114" t="s">
        <v>2819</v>
      </c>
      <c r="B522" s="112">
        <v>3</v>
      </c>
      <c r="C522" s="115">
        <v>0.02037045083440474</v>
      </c>
      <c r="D522" s="112" t="b">
        <v>0</v>
      </c>
      <c r="E522" s="112" t="b">
        <v>0</v>
      </c>
      <c r="F522" s="112" t="b">
        <v>0</v>
      </c>
      <c r="G522" s="112" t="s">
        <v>3181</v>
      </c>
    </row>
    <row r="523" spans="1:7" ht="15">
      <c r="A523" s="114" t="s">
        <v>2376</v>
      </c>
      <c r="B523" s="112">
        <v>3</v>
      </c>
      <c r="C523" s="115">
        <v>0.009608317269299574</v>
      </c>
      <c r="D523" s="112" t="b">
        <v>0</v>
      </c>
      <c r="E523" s="112" t="b">
        <v>0</v>
      </c>
      <c r="F523" s="112" t="b">
        <v>0</v>
      </c>
      <c r="G523" s="112" t="s">
        <v>3181</v>
      </c>
    </row>
    <row r="524" spans="1:7" ht="15">
      <c r="A524" s="114" t="s">
        <v>2641</v>
      </c>
      <c r="B524" s="112">
        <v>2</v>
      </c>
      <c r="C524" s="115">
        <v>0.009053533704179885</v>
      </c>
      <c r="D524" s="112" t="b">
        <v>0</v>
      </c>
      <c r="E524" s="112" t="b">
        <v>0</v>
      </c>
      <c r="F524" s="112" t="b">
        <v>0</v>
      </c>
      <c r="G524" s="112" t="s">
        <v>3181</v>
      </c>
    </row>
    <row r="525" spans="1:7" ht="15">
      <c r="A525" s="114" t="s">
        <v>390</v>
      </c>
      <c r="B525" s="112">
        <v>2</v>
      </c>
      <c r="C525" s="115">
        <v>0.013580300556269827</v>
      </c>
      <c r="D525" s="112" t="b">
        <v>0</v>
      </c>
      <c r="E525" s="112" t="b">
        <v>0</v>
      </c>
      <c r="F525" s="112" t="b">
        <v>0</v>
      </c>
      <c r="G525" s="112" t="s">
        <v>3181</v>
      </c>
    </row>
    <row r="526" spans="1:7" ht="15">
      <c r="A526" s="114" t="s">
        <v>2868</v>
      </c>
      <c r="B526" s="112">
        <v>2</v>
      </c>
      <c r="C526" s="115">
        <v>0.013580300556269827</v>
      </c>
      <c r="D526" s="112" t="b">
        <v>0</v>
      </c>
      <c r="E526" s="112" t="b">
        <v>1</v>
      </c>
      <c r="F526" s="112" t="b">
        <v>0</v>
      </c>
      <c r="G526" s="112" t="s">
        <v>3181</v>
      </c>
    </row>
    <row r="527" spans="1:7" ht="15">
      <c r="A527" s="114" t="s">
        <v>2375</v>
      </c>
      <c r="B527" s="112">
        <v>2</v>
      </c>
      <c r="C527" s="115">
        <v>0.009053533704179885</v>
      </c>
      <c r="D527" s="112" t="b">
        <v>1</v>
      </c>
      <c r="E527" s="112" t="b">
        <v>0</v>
      </c>
      <c r="F527" s="112" t="b">
        <v>0</v>
      </c>
      <c r="G527" s="112" t="s">
        <v>3181</v>
      </c>
    </row>
    <row r="528" spans="1:7" ht="15">
      <c r="A528" s="114" t="s">
        <v>2821</v>
      </c>
      <c r="B528" s="112">
        <v>2</v>
      </c>
      <c r="C528" s="115">
        <v>0.009053533704179885</v>
      </c>
      <c r="D528" s="112" t="b">
        <v>1</v>
      </c>
      <c r="E528" s="112" t="b">
        <v>0</v>
      </c>
      <c r="F528" s="112" t="b">
        <v>0</v>
      </c>
      <c r="G528" s="112" t="s">
        <v>3181</v>
      </c>
    </row>
    <row r="529" spans="1:7" ht="15">
      <c r="A529" s="114" t="s">
        <v>2783</v>
      </c>
      <c r="B529" s="112">
        <v>2</v>
      </c>
      <c r="C529" s="115">
        <v>0.013580300556269827</v>
      </c>
      <c r="D529" s="112" t="b">
        <v>0</v>
      </c>
      <c r="E529" s="112" t="b">
        <v>1</v>
      </c>
      <c r="F529" s="112" t="b">
        <v>0</v>
      </c>
      <c r="G529" s="112" t="s">
        <v>3181</v>
      </c>
    </row>
    <row r="530" spans="1:7" ht="15">
      <c r="A530" s="114" t="s">
        <v>2725</v>
      </c>
      <c r="B530" s="112">
        <v>2</v>
      </c>
      <c r="C530" s="115">
        <v>0.009053533704179885</v>
      </c>
      <c r="D530" s="112" t="b">
        <v>0</v>
      </c>
      <c r="E530" s="112" t="b">
        <v>0</v>
      </c>
      <c r="F530" s="112" t="b">
        <v>0</v>
      </c>
      <c r="G530" s="112" t="s">
        <v>3181</v>
      </c>
    </row>
    <row r="531" spans="1:7" ht="15">
      <c r="A531" s="114" t="s">
        <v>2893</v>
      </c>
      <c r="B531" s="112">
        <v>2</v>
      </c>
      <c r="C531" s="115">
        <v>0.013580300556269827</v>
      </c>
      <c r="D531" s="112" t="b">
        <v>0</v>
      </c>
      <c r="E531" s="112" t="b">
        <v>0</v>
      </c>
      <c r="F531" s="112" t="b">
        <v>0</v>
      </c>
      <c r="G531" s="112" t="s">
        <v>3181</v>
      </c>
    </row>
    <row r="532" spans="1:7" ht="15">
      <c r="A532" s="114" t="s">
        <v>2377</v>
      </c>
      <c r="B532" s="112">
        <v>14</v>
      </c>
      <c r="C532" s="115">
        <v>0.0136228173778799</v>
      </c>
      <c r="D532" s="112" t="b">
        <v>0</v>
      </c>
      <c r="E532" s="112" t="b">
        <v>0</v>
      </c>
      <c r="F532" s="112" t="b">
        <v>0</v>
      </c>
      <c r="G532" s="112" t="s">
        <v>3182</v>
      </c>
    </row>
    <row r="533" spans="1:7" ht="15">
      <c r="A533" s="114" t="s">
        <v>681</v>
      </c>
      <c r="B533" s="112">
        <v>14</v>
      </c>
      <c r="C533" s="115">
        <v>0.01118706356473706</v>
      </c>
      <c r="D533" s="112" t="b">
        <v>1</v>
      </c>
      <c r="E533" s="112" t="b">
        <v>0</v>
      </c>
      <c r="F533" s="112" t="b">
        <v>0</v>
      </c>
      <c r="G533" s="112" t="s">
        <v>3182</v>
      </c>
    </row>
    <row r="534" spans="1:7" ht="15">
      <c r="A534" s="114" t="s">
        <v>2374</v>
      </c>
      <c r="B534" s="112">
        <v>13</v>
      </c>
      <c r="C534" s="115">
        <v>0.01038798759582727</v>
      </c>
      <c r="D534" s="112" t="b">
        <v>1</v>
      </c>
      <c r="E534" s="112" t="b">
        <v>0</v>
      </c>
      <c r="F534" s="112" t="b">
        <v>0</v>
      </c>
      <c r="G534" s="112" t="s">
        <v>3182</v>
      </c>
    </row>
    <row r="535" spans="1:7" ht="15">
      <c r="A535" s="114" t="s">
        <v>2373</v>
      </c>
      <c r="B535" s="112">
        <v>13</v>
      </c>
      <c r="C535" s="115">
        <v>0.01038798759582727</v>
      </c>
      <c r="D535" s="112" t="b">
        <v>1</v>
      </c>
      <c r="E535" s="112" t="b">
        <v>0</v>
      </c>
      <c r="F535" s="112" t="b">
        <v>0</v>
      </c>
      <c r="G535" s="112" t="s">
        <v>3182</v>
      </c>
    </row>
    <row r="536" spans="1:7" ht="15">
      <c r="A536" s="114" t="s">
        <v>2375</v>
      </c>
      <c r="B536" s="112">
        <v>8</v>
      </c>
      <c r="C536" s="115">
        <v>0.01043775624652807</v>
      </c>
      <c r="D536" s="112" t="b">
        <v>1</v>
      </c>
      <c r="E536" s="112" t="b">
        <v>0</v>
      </c>
      <c r="F536" s="112" t="b">
        <v>0</v>
      </c>
      <c r="G536" s="112" t="s">
        <v>3182</v>
      </c>
    </row>
    <row r="537" spans="1:7" ht="15">
      <c r="A537" s="114" t="s">
        <v>2376</v>
      </c>
      <c r="B537" s="112">
        <v>7</v>
      </c>
      <c r="C537" s="115">
        <v>0.010106522636200807</v>
      </c>
      <c r="D537" s="112" t="b">
        <v>0</v>
      </c>
      <c r="E537" s="112" t="b">
        <v>0</v>
      </c>
      <c r="F537" s="112" t="b">
        <v>0</v>
      </c>
      <c r="G537" s="112" t="s">
        <v>3182</v>
      </c>
    </row>
    <row r="538" spans="1:7" ht="15">
      <c r="A538" s="114" t="s">
        <v>2639</v>
      </c>
      <c r="B538" s="112">
        <v>7</v>
      </c>
      <c r="C538" s="115">
        <v>0.010106522636200807</v>
      </c>
      <c r="D538" s="112" t="b">
        <v>0</v>
      </c>
      <c r="E538" s="112" t="b">
        <v>0</v>
      </c>
      <c r="F538" s="112" t="b">
        <v>0</v>
      </c>
      <c r="G538" s="112" t="s">
        <v>3182</v>
      </c>
    </row>
    <row r="539" spans="1:7" ht="15">
      <c r="A539" s="114" t="s">
        <v>2636</v>
      </c>
      <c r="B539" s="112">
        <v>6</v>
      </c>
      <c r="C539" s="115">
        <v>0.012159684028982112</v>
      </c>
      <c r="D539" s="112" t="b">
        <v>0</v>
      </c>
      <c r="E539" s="112" t="b">
        <v>0</v>
      </c>
      <c r="F539" s="112" t="b">
        <v>0</v>
      </c>
      <c r="G539" s="112" t="s">
        <v>3182</v>
      </c>
    </row>
    <row r="540" spans="1:7" ht="15">
      <c r="A540" s="114" t="s">
        <v>2638</v>
      </c>
      <c r="B540" s="112">
        <v>6</v>
      </c>
      <c r="C540" s="115">
        <v>0.012159684028982112</v>
      </c>
      <c r="D540" s="112" t="b">
        <v>0</v>
      </c>
      <c r="E540" s="112" t="b">
        <v>0</v>
      </c>
      <c r="F540" s="112" t="b">
        <v>0</v>
      </c>
      <c r="G540" s="112" t="s">
        <v>3182</v>
      </c>
    </row>
    <row r="541" spans="1:7" ht="15">
      <c r="A541" s="114" t="s">
        <v>2381</v>
      </c>
      <c r="B541" s="112">
        <v>6</v>
      </c>
      <c r="C541" s="115">
        <v>0.009625996848324828</v>
      </c>
      <c r="D541" s="112" t="b">
        <v>0</v>
      </c>
      <c r="E541" s="112" t="b">
        <v>0</v>
      </c>
      <c r="F541" s="112" t="b">
        <v>0</v>
      </c>
      <c r="G541" s="112" t="s">
        <v>3182</v>
      </c>
    </row>
    <row r="542" spans="1:7" ht="15">
      <c r="A542" s="114" t="s">
        <v>2647</v>
      </c>
      <c r="B542" s="112">
        <v>6</v>
      </c>
      <c r="C542" s="115">
        <v>0.009625996848324828</v>
      </c>
      <c r="D542" s="112" t="b">
        <v>0</v>
      </c>
      <c r="E542" s="112" t="b">
        <v>0</v>
      </c>
      <c r="F542" s="112" t="b">
        <v>0</v>
      </c>
      <c r="G542" s="112" t="s">
        <v>3182</v>
      </c>
    </row>
    <row r="543" spans="1:7" ht="15">
      <c r="A543" s="114" t="s">
        <v>2648</v>
      </c>
      <c r="B543" s="112">
        <v>5</v>
      </c>
      <c r="C543" s="115">
        <v>0.008971079460506</v>
      </c>
      <c r="D543" s="112" t="b">
        <v>0</v>
      </c>
      <c r="E543" s="112" t="b">
        <v>0</v>
      </c>
      <c r="F543" s="112" t="b">
        <v>0</v>
      </c>
      <c r="G543" s="112" t="s">
        <v>3182</v>
      </c>
    </row>
    <row r="544" spans="1:7" ht="15">
      <c r="A544" s="114" t="s">
        <v>2689</v>
      </c>
      <c r="B544" s="112">
        <v>4</v>
      </c>
      <c r="C544" s="115">
        <v>0.008106456019321407</v>
      </c>
      <c r="D544" s="112" t="b">
        <v>0</v>
      </c>
      <c r="E544" s="112" t="b">
        <v>1</v>
      </c>
      <c r="F544" s="112" t="b">
        <v>0</v>
      </c>
      <c r="G544" s="112" t="s">
        <v>3182</v>
      </c>
    </row>
    <row r="545" spans="1:7" ht="15">
      <c r="A545" s="114" t="s">
        <v>2644</v>
      </c>
      <c r="B545" s="112">
        <v>4</v>
      </c>
      <c r="C545" s="115">
        <v>0.008106456019321407</v>
      </c>
      <c r="D545" s="112" t="b">
        <v>0</v>
      </c>
      <c r="E545" s="112" t="b">
        <v>0</v>
      </c>
      <c r="F545" s="112" t="b">
        <v>0</v>
      </c>
      <c r="G545" s="112" t="s">
        <v>3182</v>
      </c>
    </row>
    <row r="546" spans="1:7" ht="15">
      <c r="A546" s="114" t="s">
        <v>2646</v>
      </c>
      <c r="B546" s="112">
        <v>4</v>
      </c>
      <c r="C546" s="115">
        <v>0.008106456019321407</v>
      </c>
      <c r="D546" s="112" t="b">
        <v>0</v>
      </c>
      <c r="E546" s="112" t="b">
        <v>0</v>
      </c>
      <c r="F546" s="112" t="b">
        <v>0</v>
      </c>
      <c r="G546" s="112" t="s">
        <v>3182</v>
      </c>
    </row>
    <row r="547" spans="1:7" ht="15">
      <c r="A547" s="114" t="s">
        <v>2660</v>
      </c>
      <c r="B547" s="112">
        <v>4</v>
      </c>
      <c r="C547" s="115">
        <v>0.009304909128273926</v>
      </c>
      <c r="D547" s="112" t="b">
        <v>0</v>
      </c>
      <c r="E547" s="112" t="b">
        <v>0</v>
      </c>
      <c r="F547" s="112" t="b">
        <v>0</v>
      </c>
      <c r="G547" s="112" t="s">
        <v>3182</v>
      </c>
    </row>
    <row r="548" spans="1:7" ht="15">
      <c r="A548" s="114" t="s">
        <v>2669</v>
      </c>
      <c r="B548" s="112">
        <v>3</v>
      </c>
      <c r="C548" s="115">
        <v>0.006978681846205446</v>
      </c>
      <c r="D548" s="112" t="b">
        <v>0</v>
      </c>
      <c r="E548" s="112" t="b">
        <v>0</v>
      </c>
      <c r="F548" s="112" t="b">
        <v>0</v>
      </c>
      <c r="G548" s="112" t="s">
        <v>3182</v>
      </c>
    </row>
    <row r="549" spans="1:7" ht="15">
      <c r="A549" s="114" t="s">
        <v>2817</v>
      </c>
      <c r="B549" s="112">
        <v>3</v>
      </c>
      <c r="C549" s="115">
        <v>0.008245525436534087</v>
      </c>
      <c r="D549" s="112" t="b">
        <v>0</v>
      </c>
      <c r="E549" s="112" t="b">
        <v>0</v>
      </c>
      <c r="F549" s="112" t="b">
        <v>0</v>
      </c>
      <c r="G549" s="112" t="s">
        <v>3182</v>
      </c>
    </row>
    <row r="550" spans="1:7" ht="15">
      <c r="A550" s="114" t="s">
        <v>2832</v>
      </c>
      <c r="B550" s="112">
        <v>3</v>
      </c>
      <c r="C550" s="115">
        <v>0.010411208858577117</v>
      </c>
      <c r="D550" s="112" t="b">
        <v>0</v>
      </c>
      <c r="E550" s="112" t="b">
        <v>0</v>
      </c>
      <c r="F550" s="112" t="b">
        <v>0</v>
      </c>
      <c r="G550" s="112" t="s">
        <v>3182</v>
      </c>
    </row>
    <row r="551" spans="1:7" ht="15">
      <c r="A551" s="114" t="s">
        <v>2761</v>
      </c>
      <c r="B551" s="112">
        <v>3</v>
      </c>
      <c r="C551" s="115">
        <v>0.010411208858577117</v>
      </c>
      <c r="D551" s="112" t="b">
        <v>0</v>
      </c>
      <c r="E551" s="112" t="b">
        <v>0</v>
      </c>
      <c r="F551" s="112" t="b">
        <v>0</v>
      </c>
      <c r="G551" s="112" t="s">
        <v>3182</v>
      </c>
    </row>
    <row r="552" spans="1:7" ht="15">
      <c r="A552" s="114" t="s">
        <v>2655</v>
      </c>
      <c r="B552" s="112">
        <v>3</v>
      </c>
      <c r="C552" s="115">
        <v>0.008245525436534087</v>
      </c>
      <c r="D552" s="112" t="b">
        <v>0</v>
      </c>
      <c r="E552" s="112" t="b">
        <v>0</v>
      </c>
      <c r="F552" s="112" t="b">
        <v>0</v>
      </c>
      <c r="G552" s="112" t="s">
        <v>3182</v>
      </c>
    </row>
    <row r="553" spans="1:7" ht="15">
      <c r="A553" s="114" t="s">
        <v>2697</v>
      </c>
      <c r="B553" s="112">
        <v>3</v>
      </c>
      <c r="C553" s="115">
        <v>0.008245525436534087</v>
      </c>
      <c r="D553" s="112" t="b">
        <v>0</v>
      </c>
      <c r="E553" s="112" t="b">
        <v>0</v>
      </c>
      <c r="F553" s="112" t="b">
        <v>0</v>
      </c>
      <c r="G553" s="112" t="s">
        <v>3182</v>
      </c>
    </row>
    <row r="554" spans="1:7" ht="15">
      <c r="A554" s="114" t="s">
        <v>2711</v>
      </c>
      <c r="B554" s="112">
        <v>3</v>
      </c>
      <c r="C554" s="115">
        <v>0.008245525436534087</v>
      </c>
      <c r="D554" s="112" t="b">
        <v>0</v>
      </c>
      <c r="E554" s="112" t="b">
        <v>0</v>
      </c>
      <c r="F554" s="112" t="b">
        <v>0</v>
      </c>
      <c r="G554" s="112" t="s">
        <v>3182</v>
      </c>
    </row>
    <row r="555" spans="1:7" ht="15">
      <c r="A555" s="114" t="s">
        <v>3007</v>
      </c>
      <c r="B555" s="112">
        <v>2</v>
      </c>
      <c r="C555" s="115">
        <v>0.00549701695768939</v>
      </c>
      <c r="D555" s="112" t="b">
        <v>0</v>
      </c>
      <c r="E555" s="112" t="b">
        <v>0</v>
      </c>
      <c r="F555" s="112" t="b">
        <v>0</v>
      </c>
      <c r="G555" s="112" t="s">
        <v>3182</v>
      </c>
    </row>
    <row r="556" spans="1:7" ht="15">
      <c r="A556" s="114" t="s">
        <v>2732</v>
      </c>
      <c r="B556" s="112">
        <v>2</v>
      </c>
      <c r="C556" s="115">
        <v>0.006940805905718077</v>
      </c>
      <c r="D556" s="112" t="b">
        <v>0</v>
      </c>
      <c r="E556" s="112" t="b">
        <v>0</v>
      </c>
      <c r="F556" s="112" t="b">
        <v>0</v>
      </c>
      <c r="G556" s="112" t="s">
        <v>3182</v>
      </c>
    </row>
    <row r="557" spans="1:7" ht="15">
      <c r="A557" s="114" t="s">
        <v>2714</v>
      </c>
      <c r="B557" s="112">
        <v>2</v>
      </c>
      <c r="C557" s="115">
        <v>0.006940805905718077</v>
      </c>
      <c r="D557" s="112" t="b">
        <v>0</v>
      </c>
      <c r="E557" s="112" t="b">
        <v>0</v>
      </c>
      <c r="F557" s="112" t="b">
        <v>0</v>
      </c>
      <c r="G557" s="112" t="s">
        <v>3182</v>
      </c>
    </row>
    <row r="558" spans="1:7" ht="15">
      <c r="A558" s="114" t="s">
        <v>2852</v>
      </c>
      <c r="B558" s="112">
        <v>2</v>
      </c>
      <c r="C558" s="115">
        <v>0.00549701695768939</v>
      </c>
      <c r="D558" s="112" t="b">
        <v>0</v>
      </c>
      <c r="E558" s="112" t="b">
        <v>0</v>
      </c>
      <c r="F558" s="112" t="b">
        <v>0</v>
      </c>
      <c r="G558" s="112" t="s">
        <v>3182</v>
      </c>
    </row>
    <row r="559" spans="1:7" ht="15">
      <c r="A559" s="114" t="s">
        <v>3010</v>
      </c>
      <c r="B559" s="112">
        <v>2</v>
      </c>
      <c r="C559" s="115">
        <v>0.00549701695768939</v>
      </c>
      <c r="D559" s="112" t="b">
        <v>0</v>
      </c>
      <c r="E559" s="112" t="b">
        <v>0</v>
      </c>
      <c r="F559" s="112" t="b">
        <v>0</v>
      </c>
      <c r="G559" s="112" t="s">
        <v>3182</v>
      </c>
    </row>
    <row r="560" spans="1:7" ht="15">
      <c r="A560" s="114" t="s">
        <v>2844</v>
      </c>
      <c r="B560" s="112">
        <v>2</v>
      </c>
      <c r="C560" s="115">
        <v>0.00549701695768939</v>
      </c>
      <c r="D560" s="112" t="b">
        <v>1</v>
      </c>
      <c r="E560" s="112" t="b">
        <v>0</v>
      </c>
      <c r="F560" s="112" t="b">
        <v>0</v>
      </c>
      <c r="G560" s="112" t="s">
        <v>3182</v>
      </c>
    </row>
    <row r="561" spans="1:7" ht="15">
      <c r="A561" s="114" t="s">
        <v>2794</v>
      </c>
      <c r="B561" s="112">
        <v>2</v>
      </c>
      <c r="C561" s="115">
        <v>0.00549701695768939</v>
      </c>
      <c r="D561" s="112" t="b">
        <v>0</v>
      </c>
      <c r="E561" s="112" t="b">
        <v>1</v>
      </c>
      <c r="F561" s="112" t="b">
        <v>0</v>
      </c>
      <c r="G561" s="112" t="s">
        <v>3182</v>
      </c>
    </row>
    <row r="562" spans="1:7" ht="15">
      <c r="A562" s="114" t="s">
        <v>2641</v>
      </c>
      <c r="B562" s="112">
        <v>2</v>
      </c>
      <c r="C562" s="115">
        <v>0.00549701695768939</v>
      </c>
      <c r="D562" s="112" t="b">
        <v>0</v>
      </c>
      <c r="E562" s="112" t="b">
        <v>0</v>
      </c>
      <c r="F562" s="112" t="b">
        <v>0</v>
      </c>
      <c r="G562" s="112" t="s">
        <v>3182</v>
      </c>
    </row>
    <row r="563" spans="1:7" ht="15">
      <c r="A563" s="114" t="s">
        <v>2679</v>
      </c>
      <c r="B563" s="112">
        <v>2</v>
      </c>
      <c r="C563" s="115">
        <v>0.00549701695768939</v>
      </c>
      <c r="D563" s="112" t="b">
        <v>1</v>
      </c>
      <c r="E563" s="112" t="b">
        <v>0</v>
      </c>
      <c r="F563" s="112" t="b">
        <v>0</v>
      </c>
      <c r="G563" s="112" t="s">
        <v>3182</v>
      </c>
    </row>
    <row r="564" spans="1:7" ht="15">
      <c r="A564" s="114" t="s">
        <v>2984</v>
      </c>
      <c r="B564" s="112">
        <v>2</v>
      </c>
      <c r="C564" s="115">
        <v>0.00549701695768939</v>
      </c>
      <c r="D564" s="112" t="b">
        <v>0</v>
      </c>
      <c r="E564" s="112" t="b">
        <v>1</v>
      </c>
      <c r="F564" s="112" t="b">
        <v>0</v>
      </c>
      <c r="G564" s="112" t="s">
        <v>3182</v>
      </c>
    </row>
    <row r="565" spans="1:7" ht="15">
      <c r="A565" s="114" t="s">
        <v>2652</v>
      </c>
      <c r="B565" s="112">
        <v>2</v>
      </c>
      <c r="C565" s="115">
        <v>0.00549701695768939</v>
      </c>
      <c r="D565" s="112" t="b">
        <v>0</v>
      </c>
      <c r="E565" s="112" t="b">
        <v>0</v>
      </c>
      <c r="F565" s="112" t="b">
        <v>0</v>
      </c>
      <c r="G565" s="112" t="s">
        <v>3182</v>
      </c>
    </row>
    <row r="566" spans="1:7" ht="15">
      <c r="A566" s="114" t="s">
        <v>2979</v>
      </c>
      <c r="B566" s="112">
        <v>2</v>
      </c>
      <c r="C566" s="115">
        <v>0.00549701695768939</v>
      </c>
      <c r="D566" s="112" t="b">
        <v>0</v>
      </c>
      <c r="E566" s="112" t="b">
        <v>1</v>
      </c>
      <c r="F566" s="112" t="b">
        <v>0</v>
      </c>
      <c r="G566" s="112" t="s">
        <v>3182</v>
      </c>
    </row>
    <row r="567" spans="1:7" ht="15">
      <c r="A567" s="114" t="s">
        <v>2895</v>
      </c>
      <c r="B567" s="112">
        <v>2</v>
      </c>
      <c r="C567" s="115">
        <v>0.00549701695768939</v>
      </c>
      <c r="D567" s="112" t="b">
        <v>0</v>
      </c>
      <c r="E567" s="112" t="b">
        <v>0</v>
      </c>
      <c r="F567" s="112" t="b">
        <v>0</v>
      </c>
      <c r="G567" s="112" t="s">
        <v>3182</v>
      </c>
    </row>
    <row r="568" spans="1:7" ht="15">
      <c r="A568" s="114" t="s">
        <v>2717</v>
      </c>
      <c r="B568" s="112">
        <v>2</v>
      </c>
      <c r="C568" s="115">
        <v>0.00549701695768939</v>
      </c>
      <c r="D568" s="112" t="b">
        <v>0</v>
      </c>
      <c r="E568" s="112" t="b">
        <v>0</v>
      </c>
      <c r="F568" s="112" t="b">
        <v>0</v>
      </c>
      <c r="G568" s="112" t="s">
        <v>3182</v>
      </c>
    </row>
    <row r="569" spans="1:7" ht="15">
      <c r="A569" s="114" t="s">
        <v>2745</v>
      </c>
      <c r="B569" s="112">
        <v>2</v>
      </c>
      <c r="C569" s="115">
        <v>0.006940805905718077</v>
      </c>
      <c r="D569" s="112" t="b">
        <v>0</v>
      </c>
      <c r="E569" s="112" t="b">
        <v>0</v>
      </c>
      <c r="F569" s="112" t="b">
        <v>0</v>
      </c>
      <c r="G569" s="112" t="s">
        <v>3182</v>
      </c>
    </row>
    <row r="570" spans="1:7" ht="15">
      <c r="A570" s="114" t="s">
        <v>2744</v>
      </c>
      <c r="B570" s="112">
        <v>2</v>
      </c>
      <c r="C570" s="115">
        <v>0.00549701695768939</v>
      </c>
      <c r="D570" s="112" t="b">
        <v>0</v>
      </c>
      <c r="E570" s="112" t="b">
        <v>0</v>
      </c>
      <c r="F570" s="112" t="b">
        <v>0</v>
      </c>
      <c r="G570" s="112" t="s">
        <v>3182</v>
      </c>
    </row>
    <row r="571" spans="1:7" ht="15">
      <c r="A571" s="114" t="s">
        <v>2675</v>
      </c>
      <c r="B571" s="112">
        <v>2</v>
      </c>
      <c r="C571" s="115">
        <v>0.006940805905718077</v>
      </c>
      <c r="D571" s="112" t="b">
        <v>0</v>
      </c>
      <c r="E571" s="112" t="b">
        <v>0</v>
      </c>
      <c r="F571" s="112" t="b">
        <v>0</v>
      </c>
      <c r="G571" s="112" t="s">
        <v>3182</v>
      </c>
    </row>
    <row r="572" spans="1:7" ht="15">
      <c r="A572" s="114" t="s">
        <v>2653</v>
      </c>
      <c r="B572" s="112">
        <v>2</v>
      </c>
      <c r="C572" s="115">
        <v>0.00549701695768939</v>
      </c>
      <c r="D572" s="112" t="b">
        <v>0</v>
      </c>
      <c r="E572" s="112" t="b">
        <v>0</v>
      </c>
      <c r="F572" s="112" t="b">
        <v>0</v>
      </c>
      <c r="G572" s="112" t="s">
        <v>3182</v>
      </c>
    </row>
    <row r="573" spans="1:7" ht="15">
      <c r="A573" s="114" t="s">
        <v>2657</v>
      </c>
      <c r="B573" s="112">
        <v>2</v>
      </c>
      <c r="C573" s="115">
        <v>0.00549701695768939</v>
      </c>
      <c r="D573" s="112" t="b">
        <v>0</v>
      </c>
      <c r="E573" s="112" t="b">
        <v>0</v>
      </c>
      <c r="F573" s="112" t="b">
        <v>0</v>
      </c>
      <c r="G573" s="112" t="s">
        <v>3182</v>
      </c>
    </row>
    <row r="574" spans="1:7" ht="15">
      <c r="A574" s="114" t="s">
        <v>2937</v>
      </c>
      <c r="B574" s="112">
        <v>2</v>
      </c>
      <c r="C574" s="115">
        <v>0.00549701695768939</v>
      </c>
      <c r="D574" s="112" t="b">
        <v>0</v>
      </c>
      <c r="E574" s="112" t="b">
        <v>0</v>
      </c>
      <c r="F574" s="112" t="b">
        <v>0</v>
      </c>
      <c r="G574" s="112" t="s">
        <v>3182</v>
      </c>
    </row>
    <row r="575" spans="1:7" ht="15">
      <c r="A575" s="114" t="s">
        <v>2940</v>
      </c>
      <c r="B575" s="112">
        <v>2</v>
      </c>
      <c r="C575" s="115">
        <v>0.00549701695768939</v>
      </c>
      <c r="D575" s="112" t="b">
        <v>0</v>
      </c>
      <c r="E575" s="112" t="b">
        <v>0</v>
      </c>
      <c r="F575" s="112" t="b">
        <v>0</v>
      </c>
      <c r="G575" s="112" t="s">
        <v>3182</v>
      </c>
    </row>
    <row r="576" spans="1:7" ht="15">
      <c r="A576" s="114" t="s">
        <v>2912</v>
      </c>
      <c r="B576" s="112">
        <v>2</v>
      </c>
      <c r="C576" s="115">
        <v>0.00549701695768939</v>
      </c>
      <c r="D576" s="112" t="b">
        <v>1</v>
      </c>
      <c r="E576" s="112" t="b">
        <v>0</v>
      </c>
      <c r="F576" s="112" t="b">
        <v>0</v>
      </c>
      <c r="G576" s="112" t="s">
        <v>3182</v>
      </c>
    </row>
    <row r="577" spans="1:7" ht="15">
      <c r="A577" s="114" t="s">
        <v>2710</v>
      </c>
      <c r="B577" s="112">
        <v>2</v>
      </c>
      <c r="C577" s="115">
        <v>0.00549701695768939</v>
      </c>
      <c r="D577" s="112" t="b">
        <v>1</v>
      </c>
      <c r="E577" s="112" t="b">
        <v>0</v>
      </c>
      <c r="F577" s="112" t="b">
        <v>0</v>
      </c>
      <c r="G577" s="112" t="s">
        <v>3182</v>
      </c>
    </row>
    <row r="578" spans="1:7" ht="15">
      <c r="A578" s="114" t="s">
        <v>2718</v>
      </c>
      <c r="B578" s="112">
        <v>2</v>
      </c>
      <c r="C578" s="115">
        <v>0.00549701695768939</v>
      </c>
      <c r="D578" s="112" t="b">
        <v>1</v>
      </c>
      <c r="E578" s="112" t="b">
        <v>0</v>
      </c>
      <c r="F578" s="112" t="b">
        <v>0</v>
      </c>
      <c r="G578" s="112" t="s">
        <v>3182</v>
      </c>
    </row>
    <row r="579" spans="1:7" ht="15">
      <c r="A579" s="114" t="s">
        <v>2772</v>
      </c>
      <c r="B579" s="112">
        <v>2</v>
      </c>
      <c r="C579" s="115">
        <v>0.00549701695768939</v>
      </c>
      <c r="D579" s="112" t="b">
        <v>0</v>
      </c>
      <c r="E579" s="112" t="b">
        <v>1</v>
      </c>
      <c r="F579" s="112" t="b">
        <v>0</v>
      </c>
      <c r="G579" s="112" t="s">
        <v>3182</v>
      </c>
    </row>
    <row r="580" spans="1:7" ht="15">
      <c r="A580" s="114" t="s">
        <v>2843</v>
      </c>
      <c r="B580" s="112">
        <v>2</v>
      </c>
      <c r="C580" s="115">
        <v>0.00549701695768939</v>
      </c>
      <c r="D580" s="112" t="b">
        <v>1</v>
      </c>
      <c r="E580" s="112" t="b">
        <v>0</v>
      </c>
      <c r="F580" s="112" t="b">
        <v>0</v>
      </c>
      <c r="G580" s="112" t="s">
        <v>3182</v>
      </c>
    </row>
    <row r="581" spans="1:7" ht="15">
      <c r="A581" s="114" t="s">
        <v>2640</v>
      </c>
      <c r="B581" s="112">
        <v>2</v>
      </c>
      <c r="C581" s="115">
        <v>0.00549701695768939</v>
      </c>
      <c r="D581" s="112" t="b">
        <v>0</v>
      </c>
      <c r="E581" s="112" t="b">
        <v>0</v>
      </c>
      <c r="F581" s="112" t="b">
        <v>0</v>
      </c>
      <c r="G581" s="112" t="s">
        <v>3182</v>
      </c>
    </row>
    <row r="582" spans="1:7" ht="15">
      <c r="A582" s="114" t="s">
        <v>2727</v>
      </c>
      <c r="B582" s="112">
        <v>2</v>
      </c>
      <c r="C582" s="115">
        <v>0.006940805905718077</v>
      </c>
      <c r="D582" s="112" t="b">
        <v>0</v>
      </c>
      <c r="E582" s="112" t="b">
        <v>0</v>
      </c>
      <c r="F582" s="112" t="b">
        <v>0</v>
      </c>
      <c r="G582" s="112" t="s">
        <v>3182</v>
      </c>
    </row>
    <row r="583" spans="1:7" ht="15">
      <c r="A583" s="114" t="s">
        <v>2763</v>
      </c>
      <c r="B583" s="112">
        <v>2</v>
      </c>
      <c r="C583" s="115">
        <v>0.00549701695768939</v>
      </c>
      <c r="D583" s="112" t="b">
        <v>1</v>
      </c>
      <c r="E583" s="112" t="b">
        <v>0</v>
      </c>
      <c r="F583" s="112" t="b">
        <v>0</v>
      </c>
      <c r="G583" s="112" t="s">
        <v>3182</v>
      </c>
    </row>
    <row r="584" spans="1:7" ht="15">
      <c r="A584" s="114" t="s">
        <v>2789</v>
      </c>
      <c r="B584" s="112">
        <v>2</v>
      </c>
      <c r="C584" s="115">
        <v>0.00549701695768939</v>
      </c>
      <c r="D584" s="112" t="b">
        <v>0</v>
      </c>
      <c r="E584" s="112" t="b">
        <v>0</v>
      </c>
      <c r="F584" s="112" t="b">
        <v>0</v>
      </c>
      <c r="G584" s="112" t="s">
        <v>3182</v>
      </c>
    </row>
    <row r="585" spans="1:7" ht="15">
      <c r="A585" s="114" t="s">
        <v>2848</v>
      </c>
      <c r="B585" s="112">
        <v>2</v>
      </c>
      <c r="C585" s="115">
        <v>0.006940805905718077</v>
      </c>
      <c r="D585" s="112" t="b">
        <v>0</v>
      </c>
      <c r="E585" s="112" t="b">
        <v>0</v>
      </c>
      <c r="F585" s="112" t="b">
        <v>0</v>
      </c>
      <c r="G585" s="112" t="s">
        <v>3182</v>
      </c>
    </row>
    <row r="586" spans="1:7" ht="15">
      <c r="A586" s="114" t="s">
        <v>2682</v>
      </c>
      <c r="B586" s="112">
        <v>2</v>
      </c>
      <c r="C586" s="115">
        <v>0.00549701695768939</v>
      </c>
      <c r="D586" s="112" t="b">
        <v>0</v>
      </c>
      <c r="E586" s="112" t="b">
        <v>0</v>
      </c>
      <c r="F586" s="112" t="b">
        <v>0</v>
      </c>
      <c r="G586" s="112" t="s">
        <v>3182</v>
      </c>
    </row>
    <row r="587" spans="1:7" ht="15">
      <c r="A587" s="114" t="s">
        <v>2818</v>
      </c>
      <c r="B587" s="112">
        <v>2</v>
      </c>
      <c r="C587" s="115">
        <v>0.00549701695768939</v>
      </c>
      <c r="D587" s="112" t="b">
        <v>0</v>
      </c>
      <c r="E587" s="112" t="b">
        <v>0</v>
      </c>
      <c r="F587" s="112" t="b">
        <v>0</v>
      </c>
      <c r="G587" s="112" t="s">
        <v>3182</v>
      </c>
    </row>
    <row r="588" spans="1:7" ht="15">
      <c r="A588" s="114" t="s">
        <v>2938</v>
      </c>
      <c r="B588" s="112">
        <v>2</v>
      </c>
      <c r="C588" s="115">
        <v>0.006940805905718077</v>
      </c>
      <c r="D588" s="112" t="b">
        <v>0</v>
      </c>
      <c r="E588" s="112" t="b">
        <v>0</v>
      </c>
      <c r="F588" s="112" t="b">
        <v>0</v>
      </c>
      <c r="G588" s="112" t="s">
        <v>3182</v>
      </c>
    </row>
    <row r="589" spans="1:7" ht="15">
      <c r="A589" s="114" t="s">
        <v>2374</v>
      </c>
      <c r="B589" s="112">
        <v>10</v>
      </c>
      <c r="C589" s="115">
        <v>0.009400370746455779</v>
      </c>
      <c r="D589" s="112" t="b">
        <v>1</v>
      </c>
      <c r="E589" s="112" t="b">
        <v>0</v>
      </c>
      <c r="F589" s="112" t="b">
        <v>0</v>
      </c>
      <c r="G589" s="112" t="s">
        <v>3183</v>
      </c>
    </row>
    <row r="590" spans="1:7" ht="15">
      <c r="A590" s="114" t="s">
        <v>2373</v>
      </c>
      <c r="B590" s="112">
        <v>10</v>
      </c>
      <c r="C590" s="115">
        <v>0.009400370746455779</v>
      </c>
      <c r="D590" s="112" t="b">
        <v>1</v>
      </c>
      <c r="E590" s="112" t="b">
        <v>0</v>
      </c>
      <c r="F590" s="112" t="b">
        <v>0</v>
      </c>
      <c r="G590" s="112" t="s">
        <v>3183</v>
      </c>
    </row>
    <row r="591" spans="1:7" ht="15">
      <c r="A591" s="114" t="s">
        <v>681</v>
      </c>
      <c r="B591" s="112">
        <v>9</v>
      </c>
      <c r="C591" s="115">
        <v>0.008460333671810202</v>
      </c>
      <c r="D591" s="112" t="b">
        <v>1</v>
      </c>
      <c r="E591" s="112" t="b">
        <v>0</v>
      </c>
      <c r="F591" s="112" t="b">
        <v>0</v>
      </c>
      <c r="G591" s="112" t="s">
        <v>3183</v>
      </c>
    </row>
    <row r="592" spans="1:7" ht="15">
      <c r="A592" s="114" t="s">
        <v>2637</v>
      </c>
      <c r="B592" s="112">
        <v>5</v>
      </c>
      <c r="C592" s="115">
        <v>0.010108501159314881</v>
      </c>
      <c r="D592" s="112" t="b">
        <v>0</v>
      </c>
      <c r="E592" s="112" t="b">
        <v>0</v>
      </c>
      <c r="F592" s="112" t="b">
        <v>0</v>
      </c>
      <c r="G592" s="112" t="s">
        <v>3183</v>
      </c>
    </row>
    <row r="593" spans="1:7" ht="15">
      <c r="A593" s="114" t="s">
        <v>2375</v>
      </c>
      <c r="B593" s="112">
        <v>5</v>
      </c>
      <c r="C593" s="115">
        <v>0.012161679401010992</v>
      </c>
      <c r="D593" s="112" t="b">
        <v>1</v>
      </c>
      <c r="E593" s="112" t="b">
        <v>0</v>
      </c>
      <c r="F593" s="112" t="b">
        <v>0</v>
      </c>
      <c r="G593" s="112" t="s">
        <v>3183</v>
      </c>
    </row>
    <row r="594" spans="1:7" ht="15">
      <c r="A594" s="114" t="s">
        <v>341</v>
      </c>
      <c r="B594" s="112">
        <v>4</v>
      </c>
      <c r="C594" s="115">
        <v>0.009729343520808793</v>
      </c>
      <c r="D594" s="112" t="b">
        <v>0</v>
      </c>
      <c r="E594" s="112" t="b">
        <v>0</v>
      </c>
      <c r="F594" s="112" t="b">
        <v>0</v>
      </c>
      <c r="G594" s="112" t="s">
        <v>3183</v>
      </c>
    </row>
    <row r="595" spans="1:7" ht="15">
      <c r="A595" s="114" t="s">
        <v>2728</v>
      </c>
      <c r="B595" s="112">
        <v>4</v>
      </c>
      <c r="C595" s="115">
        <v>0.011846949226034218</v>
      </c>
      <c r="D595" s="112" t="b">
        <v>1</v>
      </c>
      <c r="E595" s="112" t="b">
        <v>0</v>
      </c>
      <c r="F595" s="112" t="b">
        <v>0</v>
      </c>
      <c r="G595" s="112" t="s">
        <v>3183</v>
      </c>
    </row>
    <row r="596" spans="1:7" ht="15">
      <c r="A596" s="114" t="s">
        <v>2376</v>
      </c>
      <c r="B596" s="112">
        <v>4</v>
      </c>
      <c r="C596" s="115">
        <v>0.011846949226034218</v>
      </c>
      <c r="D596" s="112" t="b">
        <v>0</v>
      </c>
      <c r="E596" s="112" t="b">
        <v>0</v>
      </c>
      <c r="F596" s="112" t="b">
        <v>0</v>
      </c>
      <c r="G596" s="112" t="s">
        <v>3183</v>
      </c>
    </row>
    <row r="597" spans="1:7" ht="15">
      <c r="A597" s="114" t="s">
        <v>2643</v>
      </c>
      <c r="B597" s="112">
        <v>4</v>
      </c>
      <c r="C597" s="115">
        <v>0.009729343520808793</v>
      </c>
      <c r="D597" s="112" t="b">
        <v>0</v>
      </c>
      <c r="E597" s="112" t="b">
        <v>0</v>
      </c>
      <c r="F597" s="112" t="b">
        <v>0</v>
      </c>
      <c r="G597" s="112" t="s">
        <v>3183</v>
      </c>
    </row>
    <row r="598" spans="1:7" ht="15">
      <c r="A598" s="114" t="s">
        <v>2708</v>
      </c>
      <c r="B598" s="112">
        <v>3</v>
      </c>
      <c r="C598" s="115">
        <v>0.008885211919525664</v>
      </c>
      <c r="D598" s="112" t="b">
        <v>0</v>
      </c>
      <c r="E598" s="112" t="b">
        <v>0</v>
      </c>
      <c r="F598" s="112" t="b">
        <v>0</v>
      </c>
      <c r="G598" s="112" t="s">
        <v>3183</v>
      </c>
    </row>
    <row r="599" spans="1:7" ht="15">
      <c r="A599" s="114" t="s">
        <v>2650</v>
      </c>
      <c r="B599" s="112">
        <v>3</v>
      </c>
      <c r="C599" s="115">
        <v>0.008885211919525664</v>
      </c>
      <c r="D599" s="112" t="b">
        <v>0</v>
      </c>
      <c r="E599" s="112" t="b">
        <v>0</v>
      </c>
      <c r="F599" s="112" t="b">
        <v>0</v>
      </c>
      <c r="G599" s="112" t="s">
        <v>3183</v>
      </c>
    </row>
    <row r="600" spans="1:7" ht="15">
      <c r="A600" s="114" t="s">
        <v>2705</v>
      </c>
      <c r="B600" s="112">
        <v>3</v>
      </c>
      <c r="C600" s="115">
        <v>0.008885211919525664</v>
      </c>
      <c r="D600" s="112" t="b">
        <v>0</v>
      </c>
      <c r="E600" s="112" t="b">
        <v>0</v>
      </c>
      <c r="F600" s="112" t="b">
        <v>0</v>
      </c>
      <c r="G600" s="112" t="s">
        <v>3183</v>
      </c>
    </row>
    <row r="601" spans="1:7" ht="15">
      <c r="A601" s="114" t="s">
        <v>2831</v>
      </c>
      <c r="B601" s="112">
        <v>3</v>
      </c>
      <c r="C601" s="115">
        <v>0.011123660127860596</v>
      </c>
      <c r="D601" s="112" t="b">
        <v>0</v>
      </c>
      <c r="E601" s="112" t="b">
        <v>0</v>
      </c>
      <c r="F601" s="112" t="b">
        <v>0</v>
      </c>
      <c r="G601" s="112" t="s">
        <v>3183</v>
      </c>
    </row>
    <row r="602" spans="1:7" ht="15">
      <c r="A602" s="114" t="s">
        <v>2651</v>
      </c>
      <c r="B602" s="112">
        <v>3</v>
      </c>
      <c r="C602" s="115">
        <v>0.008885211919525664</v>
      </c>
      <c r="D602" s="112" t="b">
        <v>0</v>
      </c>
      <c r="E602" s="112" t="b">
        <v>0</v>
      </c>
      <c r="F602" s="112" t="b">
        <v>0</v>
      </c>
      <c r="G602" s="112" t="s">
        <v>3183</v>
      </c>
    </row>
    <row r="603" spans="1:7" ht="15">
      <c r="A603" s="114" t="s">
        <v>2378</v>
      </c>
      <c r="B603" s="112">
        <v>3</v>
      </c>
      <c r="C603" s="115">
        <v>0.008885211919525664</v>
      </c>
      <c r="D603" s="112" t="b">
        <v>0</v>
      </c>
      <c r="E603" s="112" t="b">
        <v>0</v>
      </c>
      <c r="F603" s="112" t="b">
        <v>0</v>
      </c>
      <c r="G603" s="112" t="s">
        <v>3183</v>
      </c>
    </row>
    <row r="604" spans="1:7" ht="15">
      <c r="A604" s="114" t="s">
        <v>2723</v>
      </c>
      <c r="B604" s="112">
        <v>3</v>
      </c>
      <c r="C604" s="115">
        <v>0.011123660127860596</v>
      </c>
      <c r="D604" s="112" t="b">
        <v>0</v>
      </c>
      <c r="E604" s="112" t="b">
        <v>0</v>
      </c>
      <c r="F604" s="112" t="b">
        <v>0</v>
      </c>
      <c r="G604" s="112" t="s">
        <v>3183</v>
      </c>
    </row>
    <row r="605" spans="1:7" ht="15">
      <c r="A605" s="114" t="s">
        <v>2706</v>
      </c>
      <c r="B605" s="112">
        <v>3</v>
      </c>
      <c r="C605" s="115">
        <v>0.008885211919525664</v>
      </c>
      <c r="D605" s="112" t="b">
        <v>0</v>
      </c>
      <c r="E605" s="112" t="b">
        <v>0</v>
      </c>
      <c r="F605" s="112" t="b">
        <v>0</v>
      </c>
      <c r="G605" s="112" t="s">
        <v>3183</v>
      </c>
    </row>
    <row r="606" spans="1:7" ht="15">
      <c r="A606" s="114" t="s">
        <v>2807</v>
      </c>
      <c r="B606" s="112">
        <v>2</v>
      </c>
      <c r="C606" s="115">
        <v>0.00741577341857373</v>
      </c>
      <c r="D606" s="112" t="b">
        <v>0</v>
      </c>
      <c r="E606" s="112" t="b">
        <v>0</v>
      </c>
      <c r="F606" s="112" t="b">
        <v>0</v>
      </c>
      <c r="G606" s="112" t="s">
        <v>3183</v>
      </c>
    </row>
    <row r="607" spans="1:7" ht="15">
      <c r="A607" s="114" t="s">
        <v>2668</v>
      </c>
      <c r="B607" s="112">
        <v>2</v>
      </c>
      <c r="C607" s="115">
        <v>0.00741577341857373</v>
      </c>
      <c r="D607" s="112" t="b">
        <v>1</v>
      </c>
      <c r="E607" s="112" t="b">
        <v>0</v>
      </c>
      <c r="F607" s="112" t="b">
        <v>0</v>
      </c>
      <c r="G607" s="112" t="s">
        <v>3183</v>
      </c>
    </row>
    <row r="608" spans="1:7" ht="15">
      <c r="A608" s="114" t="s">
        <v>2647</v>
      </c>
      <c r="B608" s="112">
        <v>2</v>
      </c>
      <c r="C608" s="115">
        <v>0.00741577341857373</v>
      </c>
      <c r="D608" s="112" t="b">
        <v>0</v>
      </c>
      <c r="E608" s="112" t="b">
        <v>0</v>
      </c>
      <c r="F608" s="112" t="b">
        <v>0</v>
      </c>
      <c r="G608" s="112" t="s">
        <v>3183</v>
      </c>
    </row>
    <row r="609" spans="1:7" ht="15">
      <c r="A609" s="114" t="s">
        <v>2823</v>
      </c>
      <c r="B609" s="112">
        <v>2</v>
      </c>
      <c r="C609" s="115">
        <v>0.00741577341857373</v>
      </c>
      <c r="D609" s="112" t="b">
        <v>1</v>
      </c>
      <c r="E609" s="112" t="b">
        <v>0</v>
      </c>
      <c r="F609" s="112" t="b">
        <v>0</v>
      </c>
      <c r="G609" s="112" t="s">
        <v>3183</v>
      </c>
    </row>
    <row r="610" spans="1:7" ht="15">
      <c r="A610" s="114" t="s">
        <v>2642</v>
      </c>
      <c r="B610" s="112">
        <v>2</v>
      </c>
      <c r="C610" s="115">
        <v>0.00741577341857373</v>
      </c>
      <c r="D610" s="112" t="b">
        <v>0</v>
      </c>
      <c r="E610" s="112" t="b">
        <v>0</v>
      </c>
      <c r="F610" s="112" t="b">
        <v>0</v>
      </c>
      <c r="G610" s="112" t="s">
        <v>3183</v>
      </c>
    </row>
    <row r="611" spans="1:7" ht="15">
      <c r="A611" s="114" t="s">
        <v>2805</v>
      </c>
      <c r="B611" s="112">
        <v>2</v>
      </c>
      <c r="C611" s="115">
        <v>0.00741577341857373</v>
      </c>
      <c r="D611" s="112" t="b">
        <v>0</v>
      </c>
      <c r="E611" s="112" t="b">
        <v>0</v>
      </c>
      <c r="F611" s="112" t="b">
        <v>0</v>
      </c>
      <c r="G611" s="112" t="s">
        <v>3183</v>
      </c>
    </row>
    <row r="612" spans="1:7" ht="15">
      <c r="A612" s="114" t="s">
        <v>2842</v>
      </c>
      <c r="B612" s="112">
        <v>2</v>
      </c>
      <c r="C612" s="115">
        <v>0.00741577341857373</v>
      </c>
      <c r="D612" s="112" t="b">
        <v>0</v>
      </c>
      <c r="E612" s="112" t="b">
        <v>0</v>
      </c>
      <c r="F612" s="112" t="b">
        <v>0</v>
      </c>
      <c r="G612" s="112" t="s">
        <v>3183</v>
      </c>
    </row>
    <row r="613" spans="1:7" ht="15">
      <c r="A613" s="114" t="s">
        <v>357</v>
      </c>
      <c r="B613" s="112">
        <v>2</v>
      </c>
      <c r="C613" s="115">
        <v>0.00741577341857373</v>
      </c>
      <c r="D613" s="112" t="b">
        <v>0</v>
      </c>
      <c r="E613" s="112" t="b">
        <v>0</v>
      </c>
      <c r="F613" s="112" t="b">
        <v>0</v>
      </c>
      <c r="G613" s="112" t="s">
        <v>3183</v>
      </c>
    </row>
    <row r="614" spans="1:7" ht="15">
      <c r="A614" s="114" t="s">
        <v>2824</v>
      </c>
      <c r="B614" s="112">
        <v>2</v>
      </c>
      <c r="C614" s="115">
        <v>0.00741577341857373</v>
      </c>
      <c r="D614" s="112" t="b">
        <v>0</v>
      </c>
      <c r="E614" s="112" t="b">
        <v>0</v>
      </c>
      <c r="F614" s="112" t="b">
        <v>0</v>
      </c>
      <c r="G614" s="112" t="s">
        <v>3183</v>
      </c>
    </row>
    <row r="615" spans="1:7" ht="15">
      <c r="A615" s="114" t="s">
        <v>2658</v>
      </c>
      <c r="B615" s="112">
        <v>2</v>
      </c>
      <c r="C615" s="115">
        <v>0.00741577341857373</v>
      </c>
      <c r="D615" s="112" t="b">
        <v>0</v>
      </c>
      <c r="E615" s="112" t="b">
        <v>0</v>
      </c>
      <c r="F615" s="112" t="b">
        <v>0</v>
      </c>
      <c r="G615" s="112" t="s">
        <v>3183</v>
      </c>
    </row>
    <row r="616" spans="1:7" ht="15">
      <c r="A616" s="114" t="s">
        <v>2377</v>
      </c>
      <c r="B616" s="112">
        <v>2</v>
      </c>
      <c r="C616" s="115">
        <v>0.00741577341857373</v>
      </c>
      <c r="D616" s="112" t="b">
        <v>0</v>
      </c>
      <c r="E616" s="112" t="b">
        <v>0</v>
      </c>
      <c r="F616" s="112" t="b">
        <v>0</v>
      </c>
      <c r="G616" s="112" t="s">
        <v>3183</v>
      </c>
    </row>
    <row r="617" spans="1:7" ht="15">
      <c r="A617" s="114" t="s">
        <v>2812</v>
      </c>
      <c r="B617" s="112">
        <v>2</v>
      </c>
      <c r="C617" s="115">
        <v>0.00741577341857373</v>
      </c>
      <c r="D617" s="112" t="b">
        <v>0</v>
      </c>
      <c r="E617" s="112" t="b">
        <v>0</v>
      </c>
      <c r="F617" s="112" t="b">
        <v>0</v>
      </c>
      <c r="G617" s="112" t="s">
        <v>3183</v>
      </c>
    </row>
    <row r="618" spans="1:7" ht="15">
      <c r="A618" s="114" t="s">
        <v>2696</v>
      </c>
      <c r="B618" s="112">
        <v>2</v>
      </c>
      <c r="C618" s="115">
        <v>0.00741577341857373</v>
      </c>
      <c r="D618" s="112" t="b">
        <v>0</v>
      </c>
      <c r="E618" s="112" t="b">
        <v>0</v>
      </c>
      <c r="F618" s="112" t="b">
        <v>0</v>
      </c>
      <c r="G618" s="112" t="s">
        <v>3183</v>
      </c>
    </row>
    <row r="619" spans="1:7" ht="15">
      <c r="A619" s="114" t="s">
        <v>2662</v>
      </c>
      <c r="B619" s="112">
        <v>2</v>
      </c>
      <c r="C619" s="115">
        <v>0.00741577341857373</v>
      </c>
      <c r="D619" s="112" t="b">
        <v>0</v>
      </c>
      <c r="E619" s="112" t="b">
        <v>0</v>
      </c>
      <c r="F619" s="112" t="b">
        <v>0</v>
      </c>
      <c r="G619" s="112" t="s">
        <v>3183</v>
      </c>
    </row>
    <row r="620" spans="1:7" ht="15">
      <c r="A620" s="114" t="s">
        <v>2373</v>
      </c>
      <c r="B620" s="112">
        <v>9</v>
      </c>
      <c r="C620" s="115">
        <v>0</v>
      </c>
      <c r="D620" s="112" t="b">
        <v>1</v>
      </c>
      <c r="E620" s="112" t="b">
        <v>0</v>
      </c>
      <c r="F620" s="112" t="b">
        <v>0</v>
      </c>
      <c r="G620" s="112" t="s">
        <v>3184</v>
      </c>
    </row>
    <row r="621" spans="1:7" ht="15">
      <c r="A621" s="114" t="s">
        <v>2729</v>
      </c>
      <c r="B621" s="112">
        <v>5</v>
      </c>
      <c r="C621" s="115">
        <v>0.006790148728711953</v>
      </c>
      <c r="D621" s="112" t="b">
        <v>0</v>
      </c>
      <c r="E621" s="112" t="b">
        <v>0</v>
      </c>
      <c r="F621" s="112" t="b">
        <v>0</v>
      </c>
      <c r="G621" s="112" t="s">
        <v>3184</v>
      </c>
    </row>
    <row r="622" spans="1:7" ht="15">
      <c r="A622" s="114" t="s">
        <v>2374</v>
      </c>
      <c r="B622" s="112">
        <v>4</v>
      </c>
      <c r="C622" s="115">
        <v>0</v>
      </c>
      <c r="D622" s="112" t="b">
        <v>1</v>
      </c>
      <c r="E622" s="112" t="b">
        <v>0</v>
      </c>
      <c r="F622" s="112" t="b">
        <v>0</v>
      </c>
      <c r="G622" s="112" t="s">
        <v>3184</v>
      </c>
    </row>
    <row r="623" spans="1:7" ht="15">
      <c r="A623" s="114" t="s">
        <v>681</v>
      </c>
      <c r="B623" s="112">
        <v>4</v>
      </c>
      <c r="C623" s="115">
        <v>0</v>
      </c>
      <c r="D623" s="112" t="b">
        <v>1</v>
      </c>
      <c r="E623" s="112" t="b">
        <v>0</v>
      </c>
      <c r="F623" s="112" t="b">
        <v>0</v>
      </c>
      <c r="G623" s="112" t="s">
        <v>3184</v>
      </c>
    </row>
    <row r="624" spans="1:7" ht="15">
      <c r="A624" s="114" t="s">
        <v>2638</v>
      </c>
      <c r="B624" s="112">
        <v>3</v>
      </c>
      <c r="C624" s="115">
        <v>0.004074089237227171</v>
      </c>
      <c r="D624" s="112" t="b">
        <v>0</v>
      </c>
      <c r="E624" s="112" t="b">
        <v>0</v>
      </c>
      <c r="F624" s="112" t="b">
        <v>0</v>
      </c>
      <c r="G624" s="112" t="s">
        <v>3184</v>
      </c>
    </row>
    <row r="625" spans="1:7" ht="15">
      <c r="A625" s="114" t="s">
        <v>2649</v>
      </c>
      <c r="B625" s="112">
        <v>3</v>
      </c>
      <c r="C625" s="115">
        <v>0.004074089237227171</v>
      </c>
      <c r="D625" s="112" t="b">
        <v>1</v>
      </c>
      <c r="E625" s="112" t="b">
        <v>0</v>
      </c>
      <c r="F625" s="112" t="b">
        <v>0</v>
      </c>
      <c r="G625" s="112" t="s">
        <v>3184</v>
      </c>
    </row>
    <row r="626" spans="1:7" ht="15">
      <c r="A626" s="114" t="s">
        <v>2800</v>
      </c>
      <c r="B626" s="112">
        <v>2</v>
      </c>
      <c r="C626" s="115">
        <v>0.01308826068104266</v>
      </c>
      <c r="D626" s="112" t="b">
        <v>1</v>
      </c>
      <c r="E626" s="112" t="b">
        <v>0</v>
      </c>
      <c r="F626" s="112" t="b">
        <v>0</v>
      </c>
      <c r="G626" s="112" t="s">
        <v>3184</v>
      </c>
    </row>
    <row r="627" spans="1:7" ht="15">
      <c r="A627" s="114" t="s">
        <v>371</v>
      </c>
      <c r="B627" s="112">
        <v>2</v>
      </c>
      <c r="C627" s="115">
        <v>0.00654413034052133</v>
      </c>
      <c r="D627" s="112" t="b">
        <v>0</v>
      </c>
      <c r="E627" s="112" t="b">
        <v>0</v>
      </c>
      <c r="F627" s="112" t="b">
        <v>0</v>
      </c>
      <c r="G627" s="112" t="s">
        <v>3184</v>
      </c>
    </row>
    <row r="628" spans="1:7" ht="15">
      <c r="A628" s="114" t="s">
        <v>2846</v>
      </c>
      <c r="B628" s="112">
        <v>2</v>
      </c>
      <c r="C628" s="115">
        <v>0.00654413034052133</v>
      </c>
      <c r="D628" s="112" t="b">
        <v>0</v>
      </c>
      <c r="E628" s="112" t="b">
        <v>1</v>
      </c>
      <c r="F628" s="112" t="b">
        <v>0</v>
      </c>
      <c r="G628" s="112" t="s">
        <v>3184</v>
      </c>
    </row>
    <row r="629" spans="1:7" ht="15">
      <c r="A629" s="114" t="s">
        <v>2760</v>
      </c>
      <c r="B629" s="112">
        <v>2</v>
      </c>
      <c r="C629" s="115">
        <v>0.00654413034052133</v>
      </c>
      <c r="D629" s="112" t="b">
        <v>0</v>
      </c>
      <c r="E629" s="112" t="b">
        <v>0</v>
      </c>
      <c r="F629" s="112" t="b">
        <v>0</v>
      </c>
      <c r="G629" s="112" t="s">
        <v>3184</v>
      </c>
    </row>
    <row r="630" spans="1:7" ht="15">
      <c r="A630" s="114" t="s">
        <v>2374</v>
      </c>
      <c r="B630" s="112">
        <v>11</v>
      </c>
      <c r="C630" s="115">
        <v>0.0025979635611462332</v>
      </c>
      <c r="D630" s="112" t="b">
        <v>1</v>
      </c>
      <c r="E630" s="112" t="b">
        <v>0</v>
      </c>
      <c r="F630" s="112" t="b">
        <v>0</v>
      </c>
      <c r="G630" s="112" t="s">
        <v>3185</v>
      </c>
    </row>
    <row r="631" spans="1:7" ht="15">
      <c r="A631" s="114" t="s">
        <v>2373</v>
      </c>
      <c r="B631" s="112">
        <v>11</v>
      </c>
      <c r="C631" s="115">
        <v>0.0025979635611462332</v>
      </c>
      <c r="D631" s="112" t="b">
        <v>1</v>
      </c>
      <c r="E631" s="112" t="b">
        <v>0</v>
      </c>
      <c r="F631" s="112" t="b">
        <v>0</v>
      </c>
      <c r="G631" s="112" t="s">
        <v>3185</v>
      </c>
    </row>
    <row r="632" spans="1:7" ht="15">
      <c r="A632" s="114" t="s">
        <v>681</v>
      </c>
      <c r="B632" s="112">
        <v>10</v>
      </c>
      <c r="C632" s="115">
        <v>0.004948827877976551</v>
      </c>
      <c r="D632" s="112" t="b">
        <v>1</v>
      </c>
      <c r="E632" s="112" t="b">
        <v>0</v>
      </c>
      <c r="F632" s="112" t="b">
        <v>0</v>
      </c>
      <c r="G632" s="112" t="s">
        <v>3185</v>
      </c>
    </row>
    <row r="633" spans="1:7" ht="15">
      <c r="A633" s="114" t="s">
        <v>2376</v>
      </c>
      <c r="B633" s="112">
        <v>9</v>
      </c>
      <c r="C633" s="115">
        <v>0.02138688234627784</v>
      </c>
      <c r="D633" s="112" t="b">
        <v>0</v>
      </c>
      <c r="E633" s="112" t="b">
        <v>0</v>
      </c>
      <c r="F633" s="112" t="b">
        <v>0</v>
      </c>
      <c r="G633" s="112" t="s">
        <v>3185</v>
      </c>
    </row>
    <row r="634" spans="1:7" ht="15">
      <c r="A634" s="114" t="s">
        <v>2688</v>
      </c>
      <c r="B634" s="112">
        <v>5</v>
      </c>
      <c r="C634" s="115">
        <v>0.011881601303487688</v>
      </c>
      <c r="D634" s="112" t="b">
        <v>1</v>
      </c>
      <c r="E634" s="112" t="b">
        <v>0</v>
      </c>
      <c r="F634" s="112" t="b">
        <v>0</v>
      </c>
      <c r="G634" s="112" t="s">
        <v>3185</v>
      </c>
    </row>
    <row r="635" spans="1:7" ht="15">
      <c r="A635" s="114" t="s">
        <v>2645</v>
      </c>
      <c r="B635" s="112">
        <v>5</v>
      </c>
      <c r="C635" s="115">
        <v>0.011881601303487688</v>
      </c>
      <c r="D635" s="112" t="b">
        <v>0</v>
      </c>
      <c r="E635" s="112" t="b">
        <v>0</v>
      </c>
      <c r="F635" s="112" t="b">
        <v>0</v>
      </c>
      <c r="G635" s="112" t="s">
        <v>3185</v>
      </c>
    </row>
    <row r="636" spans="1:7" ht="15">
      <c r="A636" s="114" t="s">
        <v>2671</v>
      </c>
      <c r="B636" s="112">
        <v>5</v>
      </c>
      <c r="C636" s="115">
        <v>0.011881601303487688</v>
      </c>
      <c r="D636" s="112" t="b">
        <v>1</v>
      </c>
      <c r="E636" s="112" t="b">
        <v>0</v>
      </c>
      <c r="F636" s="112" t="b">
        <v>0</v>
      </c>
      <c r="G636" s="112" t="s">
        <v>3185</v>
      </c>
    </row>
    <row r="637" spans="1:7" ht="15">
      <c r="A637" s="114" t="s">
        <v>338</v>
      </c>
      <c r="B637" s="112">
        <v>4</v>
      </c>
      <c r="C637" s="115">
        <v>0.011928031367991561</v>
      </c>
      <c r="D637" s="112" t="b">
        <v>0</v>
      </c>
      <c r="E637" s="112" t="b">
        <v>0</v>
      </c>
      <c r="F637" s="112" t="b">
        <v>0</v>
      </c>
      <c r="G637" s="112" t="s">
        <v>3185</v>
      </c>
    </row>
    <row r="638" spans="1:7" ht="15">
      <c r="A638" s="114" t="s">
        <v>2663</v>
      </c>
      <c r="B638" s="112">
        <v>4</v>
      </c>
      <c r="C638" s="115">
        <v>0.011928031367991561</v>
      </c>
      <c r="D638" s="112" t="b">
        <v>0</v>
      </c>
      <c r="E638" s="112" t="b">
        <v>1</v>
      </c>
      <c r="F638" s="112" t="b">
        <v>0</v>
      </c>
      <c r="G638" s="112" t="s">
        <v>3185</v>
      </c>
    </row>
    <row r="639" spans="1:7" ht="15">
      <c r="A639" s="114" t="s">
        <v>2735</v>
      </c>
      <c r="B639" s="112">
        <v>3</v>
      </c>
      <c r="C639" s="115">
        <v>0.020234648363392966</v>
      </c>
      <c r="D639" s="112" t="b">
        <v>0</v>
      </c>
      <c r="E639" s="112" t="b">
        <v>0</v>
      </c>
      <c r="F639" s="112" t="b">
        <v>0</v>
      </c>
      <c r="G639" s="112" t="s">
        <v>3185</v>
      </c>
    </row>
    <row r="640" spans="1:7" ht="15">
      <c r="A640" s="114" t="s">
        <v>2829</v>
      </c>
      <c r="B640" s="112">
        <v>3</v>
      </c>
      <c r="C640" s="115">
        <v>0.011288624837399295</v>
      </c>
      <c r="D640" s="112" t="b">
        <v>0</v>
      </c>
      <c r="E640" s="112" t="b">
        <v>0</v>
      </c>
      <c r="F640" s="112" t="b">
        <v>0</v>
      </c>
      <c r="G640" s="112" t="s">
        <v>3185</v>
      </c>
    </row>
    <row r="641" spans="1:7" ht="15">
      <c r="A641" s="114" t="s">
        <v>2755</v>
      </c>
      <c r="B641" s="112">
        <v>3</v>
      </c>
      <c r="C641" s="115">
        <v>0.020234648363392966</v>
      </c>
      <c r="D641" s="112" t="b">
        <v>0</v>
      </c>
      <c r="E641" s="112" t="b">
        <v>0</v>
      </c>
      <c r="F641" s="112" t="b">
        <v>0</v>
      </c>
      <c r="G641" s="112" t="s">
        <v>3185</v>
      </c>
    </row>
    <row r="642" spans="1:7" ht="15">
      <c r="A642" s="114" t="s">
        <v>3028</v>
      </c>
      <c r="B642" s="112">
        <v>2</v>
      </c>
      <c r="C642" s="115">
        <v>0.009726890629795546</v>
      </c>
      <c r="D642" s="112" t="b">
        <v>1</v>
      </c>
      <c r="E642" s="112" t="b">
        <v>0</v>
      </c>
      <c r="F642" s="112" t="b">
        <v>0</v>
      </c>
      <c r="G642" s="112" t="s">
        <v>3185</v>
      </c>
    </row>
    <row r="643" spans="1:7" ht="15">
      <c r="A643" s="114" t="s">
        <v>2927</v>
      </c>
      <c r="B643" s="112">
        <v>2</v>
      </c>
      <c r="C643" s="115">
        <v>0.009726890629795546</v>
      </c>
      <c r="D643" s="112" t="b">
        <v>0</v>
      </c>
      <c r="E643" s="112" t="b">
        <v>0</v>
      </c>
      <c r="F643" s="112" t="b">
        <v>0</v>
      </c>
      <c r="G643" s="112" t="s">
        <v>3185</v>
      </c>
    </row>
    <row r="644" spans="1:7" ht="15">
      <c r="A644" s="114" t="s">
        <v>2698</v>
      </c>
      <c r="B644" s="112">
        <v>2</v>
      </c>
      <c r="C644" s="115">
        <v>0.009726890629795546</v>
      </c>
      <c r="D644" s="112" t="b">
        <v>0</v>
      </c>
      <c r="E644" s="112" t="b">
        <v>0</v>
      </c>
      <c r="F644" s="112" t="b">
        <v>0</v>
      </c>
      <c r="G644" s="112" t="s">
        <v>3185</v>
      </c>
    </row>
    <row r="645" spans="1:7" ht="15">
      <c r="A645" s="114" t="s">
        <v>2380</v>
      </c>
      <c r="B645" s="112">
        <v>2</v>
      </c>
      <c r="C645" s="115">
        <v>0.009726890629795546</v>
      </c>
      <c r="D645" s="112" t="b">
        <v>0</v>
      </c>
      <c r="E645" s="112" t="b">
        <v>0</v>
      </c>
      <c r="F645" s="112" t="b">
        <v>0</v>
      </c>
      <c r="G645" s="112" t="s">
        <v>3185</v>
      </c>
    </row>
    <row r="646" spans="1:7" ht="15">
      <c r="A646" s="114" t="s">
        <v>2740</v>
      </c>
      <c r="B646" s="112">
        <v>2</v>
      </c>
      <c r="C646" s="115">
        <v>0.009726890629795546</v>
      </c>
      <c r="D646" s="112" t="b">
        <v>0</v>
      </c>
      <c r="E646" s="112" t="b">
        <v>0</v>
      </c>
      <c r="F646" s="112" t="b">
        <v>0</v>
      </c>
      <c r="G646" s="112" t="s">
        <v>3185</v>
      </c>
    </row>
    <row r="647" spans="1:7" ht="15">
      <c r="A647" s="114" t="s">
        <v>2673</v>
      </c>
      <c r="B647" s="112">
        <v>2</v>
      </c>
      <c r="C647" s="115">
        <v>0.013489765575595312</v>
      </c>
      <c r="D647" s="112" t="b">
        <v>0</v>
      </c>
      <c r="E647" s="112" t="b">
        <v>0</v>
      </c>
      <c r="F647" s="112" t="b">
        <v>0</v>
      </c>
      <c r="G647" s="112" t="s">
        <v>3185</v>
      </c>
    </row>
    <row r="648" spans="1:7" ht="15">
      <c r="A648" s="114" t="s">
        <v>2873</v>
      </c>
      <c r="B648" s="112">
        <v>2</v>
      </c>
      <c r="C648" s="115">
        <v>0.009726890629795546</v>
      </c>
      <c r="D648" s="112" t="b">
        <v>0</v>
      </c>
      <c r="E648" s="112" t="b">
        <v>0</v>
      </c>
      <c r="F648" s="112" t="b">
        <v>0</v>
      </c>
      <c r="G648" s="112" t="s">
        <v>3185</v>
      </c>
    </row>
    <row r="649" spans="1:7" ht="15">
      <c r="A649" s="114" t="s">
        <v>2977</v>
      </c>
      <c r="B649" s="112">
        <v>2</v>
      </c>
      <c r="C649" s="115">
        <v>0.009726890629795546</v>
      </c>
      <c r="D649" s="112" t="b">
        <v>0</v>
      </c>
      <c r="E649" s="112" t="b">
        <v>0</v>
      </c>
      <c r="F649" s="112" t="b">
        <v>0</v>
      </c>
      <c r="G649" s="112" t="s">
        <v>3185</v>
      </c>
    </row>
    <row r="650" spans="1:7" ht="15">
      <c r="A650" s="114" t="s">
        <v>2666</v>
      </c>
      <c r="B650" s="112">
        <v>2</v>
      </c>
      <c r="C650" s="115">
        <v>0.009726890629795546</v>
      </c>
      <c r="D650" s="112" t="b">
        <v>0</v>
      </c>
      <c r="E650" s="112" t="b">
        <v>0</v>
      </c>
      <c r="F650" s="112" t="b">
        <v>0</v>
      </c>
      <c r="G650" s="112" t="s">
        <v>3185</v>
      </c>
    </row>
    <row r="651" spans="1:7" ht="15">
      <c r="A651" s="114" t="s">
        <v>2931</v>
      </c>
      <c r="B651" s="112">
        <v>2</v>
      </c>
      <c r="C651" s="115">
        <v>0.013489765575595312</v>
      </c>
      <c r="D651" s="112" t="b">
        <v>0</v>
      </c>
      <c r="E651" s="112" t="b">
        <v>0</v>
      </c>
      <c r="F651" s="112" t="b">
        <v>0</v>
      </c>
      <c r="G651" s="112" t="s">
        <v>3185</v>
      </c>
    </row>
    <row r="652" spans="1:7" ht="15">
      <c r="A652" s="114" t="s">
        <v>2656</v>
      </c>
      <c r="B652" s="112">
        <v>2</v>
      </c>
      <c r="C652" s="115">
        <v>0.013489765575595312</v>
      </c>
      <c r="D652" s="112" t="b">
        <v>0</v>
      </c>
      <c r="E652" s="112" t="b">
        <v>0</v>
      </c>
      <c r="F652" s="112" t="b">
        <v>0</v>
      </c>
      <c r="G652" s="112" t="s">
        <v>3185</v>
      </c>
    </row>
    <row r="653" spans="1:7" ht="15">
      <c r="A653" s="114" t="s">
        <v>2378</v>
      </c>
      <c r="B653" s="112">
        <v>2</v>
      </c>
      <c r="C653" s="115">
        <v>0.013489765575595312</v>
      </c>
      <c r="D653" s="112" t="b">
        <v>0</v>
      </c>
      <c r="E653" s="112" t="b">
        <v>0</v>
      </c>
      <c r="F653" s="112" t="b">
        <v>0</v>
      </c>
      <c r="G653" s="112" t="s">
        <v>3185</v>
      </c>
    </row>
    <row r="654" spans="1:7" ht="15">
      <c r="A654" s="114" t="s">
        <v>2897</v>
      </c>
      <c r="B654" s="112">
        <v>2</v>
      </c>
      <c r="C654" s="115">
        <v>0.009726890629795546</v>
      </c>
      <c r="D654" s="112" t="b">
        <v>0</v>
      </c>
      <c r="E654" s="112" t="b">
        <v>0</v>
      </c>
      <c r="F654" s="112" t="b">
        <v>0</v>
      </c>
      <c r="G654" s="112" t="s">
        <v>3185</v>
      </c>
    </row>
    <row r="655" spans="1:7" ht="15">
      <c r="A655" s="114" t="s">
        <v>2664</v>
      </c>
      <c r="B655" s="112">
        <v>2</v>
      </c>
      <c r="C655" s="115">
        <v>0.013489765575595312</v>
      </c>
      <c r="D655" s="112" t="b">
        <v>0</v>
      </c>
      <c r="E655" s="112" t="b">
        <v>0</v>
      </c>
      <c r="F655" s="112" t="b">
        <v>0</v>
      </c>
      <c r="G655" s="112" t="s">
        <v>3185</v>
      </c>
    </row>
    <row r="656" spans="1:7" ht="15">
      <c r="A656" s="114" t="s">
        <v>2862</v>
      </c>
      <c r="B656" s="112">
        <v>2</v>
      </c>
      <c r="C656" s="115">
        <v>0.009726890629795546</v>
      </c>
      <c r="D656" s="112" t="b">
        <v>0</v>
      </c>
      <c r="E656" s="112" t="b">
        <v>0</v>
      </c>
      <c r="F656" s="112" t="b">
        <v>0</v>
      </c>
      <c r="G656" s="112" t="s">
        <v>3185</v>
      </c>
    </row>
    <row r="657" spans="1:7" ht="15">
      <c r="A657" s="114" t="s">
        <v>2849</v>
      </c>
      <c r="B657" s="112">
        <v>2</v>
      </c>
      <c r="C657" s="115">
        <v>0.013489765575595312</v>
      </c>
      <c r="D657" s="112" t="b">
        <v>1</v>
      </c>
      <c r="E657" s="112" t="b">
        <v>0</v>
      </c>
      <c r="F657" s="112" t="b">
        <v>0</v>
      </c>
      <c r="G657" s="112" t="s">
        <v>3185</v>
      </c>
    </row>
    <row r="658" spans="1:7" ht="15">
      <c r="A658" s="114" t="s">
        <v>2890</v>
      </c>
      <c r="B658" s="112">
        <v>2</v>
      </c>
      <c r="C658" s="115">
        <v>0.009726890629795546</v>
      </c>
      <c r="D658" s="112" t="b">
        <v>0</v>
      </c>
      <c r="E658" s="112" t="b">
        <v>0</v>
      </c>
      <c r="F658" s="112" t="b">
        <v>0</v>
      </c>
      <c r="G658" s="112" t="s">
        <v>3185</v>
      </c>
    </row>
    <row r="659" spans="1:7" ht="15">
      <c r="A659" s="114" t="s">
        <v>318</v>
      </c>
      <c r="B659" s="112">
        <v>9</v>
      </c>
      <c r="C659" s="115">
        <v>0.005883105929229661</v>
      </c>
      <c r="D659" s="112" t="b">
        <v>0</v>
      </c>
      <c r="E659" s="112" t="b">
        <v>0</v>
      </c>
      <c r="F659" s="112" t="b">
        <v>0</v>
      </c>
      <c r="G659" s="112" t="s">
        <v>3186</v>
      </c>
    </row>
    <row r="660" spans="1:7" ht="15">
      <c r="A660" s="114" t="s">
        <v>2375</v>
      </c>
      <c r="B660" s="112">
        <v>8</v>
      </c>
      <c r="C660" s="115">
        <v>0.017703081141227792</v>
      </c>
      <c r="D660" s="112" t="b">
        <v>1</v>
      </c>
      <c r="E660" s="112" t="b">
        <v>0</v>
      </c>
      <c r="F660" s="112" t="b">
        <v>0</v>
      </c>
      <c r="G660" s="112" t="s">
        <v>3186</v>
      </c>
    </row>
    <row r="661" spans="1:7" ht="15">
      <c r="A661" s="114" t="s">
        <v>2374</v>
      </c>
      <c r="B661" s="112">
        <v>3</v>
      </c>
      <c r="C661" s="115">
        <v>0.02240908908344304</v>
      </c>
      <c r="D661" s="112" t="b">
        <v>1</v>
      </c>
      <c r="E661" s="112" t="b">
        <v>0</v>
      </c>
      <c r="F661" s="112" t="b">
        <v>0</v>
      </c>
      <c r="G661" s="112" t="s">
        <v>3186</v>
      </c>
    </row>
    <row r="662" spans="1:7" ht="15">
      <c r="A662" s="114" t="s">
        <v>2668</v>
      </c>
      <c r="B662" s="112">
        <v>3</v>
      </c>
      <c r="C662" s="115">
        <v>0.02240908908344304</v>
      </c>
      <c r="D662" s="112" t="b">
        <v>1</v>
      </c>
      <c r="E662" s="112" t="b">
        <v>0</v>
      </c>
      <c r="F662" s="112" t="b">
        <v>0</v>
      </c>
      <c r="G662" s="112" t="s">
        <v>3186</v>
      </c>
    </row>
    <row r="663" spans="1:7" ht="15">
      <c r="A663" s="114" t="s">
        <v>2373</v>
      </c>
      <c r="B663" s="112">
        <v>3</v>
      </c>
      <c r="C663" s="115">
        <v>0.02240908908344304</v>
      </c>
      <c r="D663" s="112" t="b">
        <v>1</v>
      </c>
      <c r="E663" s="112" t="b">
        <v>0</v>
      </c>
      <c r="F663" s="112" t="b">
        <v>0</v>
      </c>
      <c r="G663" s="112" t="s">
        <v>3186</v>
      </c>
    </row>
    <row r="664" spans="1:7" ht="15">
      <c r="A664" s="114" t="s">
        <v>2859</v>
      </c>
      <c r="B664" s="112">
        <v>2</v>
      </c>
      <c r="C664" s="115">
        <v>0.01997057155245768</v>
      </c>
      <c r="D664" s="112" t="b">
        <v>0</v>
      </c>
      <c r="E664" s="112" t="b">
        <v>0</v>
      </c>
      <c r="F664" s="112" t="b">
        <v>0</v>
      </c>
      <c r="G664" s="112" t="s">
        <v>3186</v>
      </c>
    </row>
    <row r="665" spans="1:7" ht="15">
      <c r="A665" s="114" t="s">
        <v>2640</v>
      </c>
      <c r="B665" s="112">
        <v>2</v>
      </c>
      <c r="C665" s="115">
        <v>0.02857142857142857</v>
      </c>
      <c r="D665" s="112" t="b">
        <v>0</v>
      </c>
      <c r="E665" s="112" t="b">
        <v>0</v>
      </c>
      <c r="F665" s="112" t="b">
        <v>0</v>
      </c>
      <c r="G665" s="112" t="s">
        <v>3186</v>
      </c>
    </row>
    <row r="666" spans="1:7" ht="15">
      <c r="A666" s="114" t="s">
        <v>681</v>
      </c>
      <c r="B666" s="112">
        <v>2</v>
      </c>
      <c r="C666" s="115">
        <v>0.01997057155245768</v>
      </c>
      <c r="D666" s="112" t="b">
        <v>1</v>
      </c>
      <c r="E666" s="112" t="b">
        <v>0</v>
      </c>
      <c r="F666" s="112" t="b">
        <v>0</v>
      </c>
      <c r="G666" s="112" t="s">
        <v>3186</v>
      </c>
    </row>
    <row r="667" spans="1:7" ht="15">
      <c r="A667" s="114" t="s">
        <v>2654</v>
      </c>
      <c r="B667" s="112">
        <v>4</v>
      </c>
      <c r="C667" s="115">
        <v>0.02040788333827792</v>
      </c>
      <c r="D667" s="112" t="b">
        <v>0</v>
      </c>
      <c r="E667" s="112" t="b">
        <v>0</v>
      </c>
      <c r="F667" s="112" t="b">
        <v>0</v>
      </c>
      <c r="G667" s="112" t="s">
        <v>3187</v>
      </c>
    </row>
    <row r="668" spans="1:7" ht="15">
      <c r="A668" s="114" t="s">
        <v>2374</v>
      </c>
      <c r="B668" s="112">
        <v>3</v>
      </c>
      <c r="C668" s="115">
        <v>0.0048580018164165635</v>
      </c>
      <c r="D668" s="112" t="b">
        <v>1</v>
      </c>
      <c r="E668" s="112" t="b">
        <v>0</v>
      </c>
      <c r="F668" s="112" t="b">
        <v>0</v>
      </c>
      <c r="G668" s="112" t="s">
        <v>3187</v>
      </c>
    </row>
    <row r="669" spans="1:7" ht="15">
      <c r="A669" s="114" t="s">
        <v>2376</v>
      </c>
      <c r="B669" s="112">
        <v>3</v>
      </c>
      <c r="C669" s="115">
        <v>0.00871401478843878</v>
      </c>
      <c r="D669" s="112" t="b">
        <v>0</v>
      </c>
      <c r="E669" s="112" t="b">
        <v>0</v>
      </c>
      <c r="F669" s="112" t="b">
        <v>0</v>
      </c>
      <c r="G669" s="112" t="s">
        <v>3187</v>
      </c>
    </row>
    <row r="670" spans="1:7" ht="15">
      <c r="A670" s="114" t="s">
        <v>2377</v>
      </c>
      <c r="B670" s="112">
        <v>3</v>
      </c>
      <c r="C670" s="115">
        <v>0.0048580018164165635</v>
      </c>
      <c r="D670" s="112" t="b">
        <v>0</v>
      </c>
      <c r="E670" s="112" t="b">
        <v>0</v>
      </c>
      <c r="F670" s="112" t="b">
        <v>0</v>
      </c>
      <c r="G670" s="112" t="s">
        <v>3187</v>
      </c>
    </row>
    <row r="671" spans="1:7" ht="15">
      <c r="A671" s="114" t="s">
        <v>2373</v>
      </c>
      <c r="B671" s="112">
        <v>3</v>
      </c>
      <c r="C671" s="115">
        <v>0.0048580018164165635</v>
      </c>
      <c r="D671" s="112" t="b">
        <v>1</v>
      </c>
      <c r="E671" s="112" t="b">
        <v>0</v>
      </c>
      <c r="F671" s="112" t="b">
        <v>0</v>
      </c>
      <c r="G671" s="112" t="s">
        <v>3187</v>
      </c>
    </row>
    <row r="672" spans="1:7" ht="15">
      <c r="A672" s="114" t="s">
        <v>681</v>
      </c>
      <c r="B672" s="112">
        <v>3</v>
      </c>
      <c r="C672" s="115">
        <v>0.0048580018164165635</v>
      </c>
      <c r="D672" s="112" t="b">
        <v>1</v>
      </c>
      <c r="E672" s="112" t="b">
        <v>0</v>
      </c>
      <c r="F672" s="112" t="b">
        <v>0</v>
      </c>
      <c r="G672" s="112" t="s">
        <v>3187</v>
      </c>
    </row>
    <row r="673" spans="1:7" ht="15">
      <c r="A673" s="114" t="s">
        <v>388</v>
      </c>
      <c r="B673" s="112">
        <v>2</v>
      </c>
      <c r="C673" s="115">
        <v>0.005809343192292519</v>
      </c>
      <c r="D673" s="112" t="b">
        <v>0</v>
      </c>
      <c r="E673" s="112" t="b">
        <v>0</v>
      </c>
      <c r="F673" s="112" t="b">
        <v>0</v>
      </c>
      <c r="G673" s="112" t="s">
        <v>3187</v>
      </c>
    </row>
    <row r="674" spans="1:7" ht="15">
      <c r="A674" s="114" t="s">
        <v>2719</v>
      </c>
      <c r="B674" s="112">
        <v>2</v>
      </c>
      <c r="C674" s="115">
        <v>0.01020394166913896</v>
      </c>
      <c r="D674" s="112" t="b">
        <v>0</v>
      </c>
      <c r="E674" s="112" t="b">
        <v>0</v>
      </c>
      <c r="F674" s="112" t="b">
        <v>0</v>
      </c>
      <c r="G674" s="112" t="s">
        <v>3187</v>
      </c>
    </row>
    <row r="675" spans="1:7" ht="15">
      <c r="A675" s="114" t="s">
        <v>2667</v>
      </c>
      <c r="B675" s="112">
        <v>2</v>
      </c>
      <c r="C675" s="115">
        <v>0.005809343192292519</v>
      </c>
      <c r="D675" s="112" t="b">
        <v>0</v>
      </c>
      <c r="E675" s="112" t="b">
        <v>0</v>
      </c>
      <c r="F675" s="112" t="b">
        <v>0</v>
      </c>
      <c r="G675" s="112" t="s">
        <v>3187</v>
      </c>
    </row>
    <row r="676" spans="1:7" ht="15">
      <c r="A676" s="114" t="s">
        <v>2886</v>
      </c>
      <c r="B676" s="112">
        <v>2</v>
      </c>
      <c r="C676" s="115">
        <v>0.01020394166913896</v>
      </c>
      <c r="D676" s="112" t="b">
        <v>0</v>
      </c>
      <c r="E676" s="112" t="b">
        <v>0</v>
      </c>
      <c r="F676" s="112" t="b">
        <v>0</v>
      </c>
      <c r="G676" s="112" t="s">
        <v>3187</v>
      </c>
    </row>
    <row r="677" spans="1:7" ht="15">
      <c r="A677" s="114" t="s">
        <v>2636</v>
      </c>
      <c r="B677" s="112">
        <v>2</v>
      </c>
      <c r="C677" s="115">
        <v>0.005809343192292519</v>
      </c>
      <c r="D677" s="112" t="b">
        <v>0</v>
      </c>
      <c r="E677" s="112" t="b">
        <v>0</v>
      </c>
      <c r="F677" s="112" t="b">
        <v>0</v>
      </c>
      <c r="G677" s="112" t="s">
        <v>3187</v>
      </c>
    </row>
    <row r="678" spans="1:7" ht="15">
      <c r="A678" s="114" t="s">
        <v>2987</v>
      </c>
      <c r="B678" s="112">
        <v>2</v>
      </c>
      <c r="C678" s="115">
        <v>0.005809343192292519</v>
      </c>
      <c r="D678" s="112" t="b">
        <v>0</v>
      </c>
      <c r="E678" s="112" t="b">
        <v>0</v>
      </c>
      <c r="F678" s="112" t="b">
        <v>0</v>
      </c>
      <c r="G678" s="112" t="s">
        <v>3187</v>
      </c>
    </row>
    <row r="679" spans="1:7" ht="15">
      <c r="A679" s="114" t="s">
        <v>2905</v>
      </c>
      <c r="B679" s="112">
        <v>2</v>
      </c>
      <c r="C679" s="115">
        <v>0.01020394166913896</v>
      </c>
      <c r="D679" s="112" t="b">
        <v>0</v>
      </c>
      <c r="E679" s="112" t="b">
        <v>0</v>
      </c>
      <c r="F679" s="112" t="b">
        <v>0</v>
      </c>
      <c r="G679" s="112" t="s">
        <v>3187</v>
      </c>
    </row>
    <row r="680" spans="1:7" ht="15">
      <c r="A680" s="114" t="s">
        <v>2871</v>
      </c>
      <c r="B680" s="112">
        <v>2</v>
      </c>
      <c r="C680" s="115">
        <v>0.005809343192292519</v>
      </c>
      <c r="D680" s="112" t="b">
        <v>0</v>
      </c>
      <c r="E680" s="112" t="b">
        <v>0</v>
      </c>
      <c r="F680" s="112" t="b">
        <v>0</v>
      </c>
      <c r="G680" s="112" t="s">
        <v>3187</v>
      </c>
    </row>
    <row r="681" spans="1:7" ht="15">
      <c r="A681" s="114" t="s">
        <v>2638</v>
      </c>
      <c r="B681" s="112">
        <v>2</v>
      </c>
      <c r="C681" s="115">
        <v>0.01020394166913896</v>
      </c>
      <c r="D681" s="112" t="b">
        <v>0</v>
      </c>
      <c r="E681" s="112" t="b">
        <v>0</v>
      </c>
      <c r="F681" s="112" t="b">
        <v>0</v>
      </c>
      <c r="G681" s="112" t="s">
        <v>3187</v>
      </c>
    </row>
    <row r="682" spans="1:7" ht="15">
      <c r="A682" s="114" t="s">
        <v>2767</v>
      </c>
      <c r="B682" s="112">
        <v>2</v>
      </c>
      <c r="C682" s="115">
        <v>0.01020394166913896</v>
      </c>
      <c r="D682" s="112" t="b">
        <v>0</v>
      </c>
      <c r="E682" s="112" t="b">
        <v>0</v>
      </c>
      <c r="F682" s="112" t="b">
        <v>0</v>
      </c>
      <c r="G682" s="112" t="s">
        <v>3187</v>
      </c>
    </row>
    <row r="683" spans="1:7" ht="15">
      <c r="A683" s="114" t="s">
        <v>2681</v>
      </c>
      <c r="B683" s="112">
        <v>2</v>
      </c>
      <c r="C683" s="115">
        <v>0.01020394166913896</v>
      </c>
      <c r="D683" s="112" t="b">
        <v>0</v>
      </c>
      <c r="E683" s="112" t="b">
        <v>0</v>
      </c>
      <c r="F683" s="112" t="b">
        <v>0</v>
      </c>
      <c r="G683" s="112" t="s">
        <v>3187</v>
      </c>
    </row>
    <row r="684" spans="1:7" ht="15">
      <c r="A684" s="114" t="s">
        <v>2768</v>
      </c>
      <c r="B684" s="112">
        <v>2</v>
      </c>
      <c r="C684" s="115">
        <v>0.01020394166913896</v>
      </c>
      <c r="D684" s="112" t="b">
        <v>0</v>
      </c>
      <c r="E684" s="112" t="b">
        <v>0</v>
      </c>
      <c r="F684" s="112" t="b">
        <v>0</v>
      </c>
      <c r="G684" s="112" t="s">
        <v>3187</v>
      </c>
    </row>
    <row r="685" spans="1:7" ht="15">
      <c r="A685" s="114" t="s">
        <v>2375</v>
      </c>
      <c r="B685" s="112">
        <v>6</v>
      </c>
      <c r="C685" s="115">
        <v>0.009933526102224912</v>
      </c>
      <c r="D685" s="112" t="b">
        <v>1</v>
      </c>
      <c r="E685" s="112" t="b">
        <v>0</v>
      </c>
      <c r="F685" s="112" t="b">
        <v>0</v>
      </c>
      <c r="G685" s="112" t="s">
        <v>3188</v>
      </c>
    </row>
    <row r="686" spans="1:7" ht="15">
      <c r="A686" s="114" t="s">
        <v>2374</v>
      </c>
      <c r="B686" s="112">
        <v>4</v>
      </c>
      <c r="C686" s="115">
        <v>0.011878806229016048</v>
      </c>
      <c r="D686" s="112" t="b">
        <v>1</v>
      </c>
      <c r="E686" s="112" t="b">
        <v>0</v>
      </c>
      <c r="F686" s="112" t="b">
        <v>0</v>
      </c>
      <c r="G686" s="112" t="s">
        <v>3188</v>
      </c>
    </row>
    <row r="687" spans="1:7" ht="15">
      <c r="A687" s="114" t="s">
        <v>2373</v>
      </c>
      <c r="B687" s="112">
        <v>4</v>
      </c>
      <c r="C687" s="115">
        <v>0.011878806229016048</v>
      </c>
      <c r="D687" s="112" t="b">
        <v>1</v>
      </c>
      <c r="E687" s="112" t="b">
        <v>0</v>
      </c>
      <c r="F687" s="112" t="b">
        <v>0</v>
      </c>
      <c r="G687" s="112" t="s">
        <v>3188</v>
      </c>
    </row>
    <row r="688" spans="1:7" ht="15">
      <c r="A688" s="114" t="s">
        <v>2651</v>
      </c>
      <c r="B688" s="112">
        <v>3</v>
      </c>
      <c r="C688" s="115">
        <v>0.011706240565977707</v>
      </c>
      <c r="D688" s="112" t="b">
        <v>0</v>
      </c>
      <c r="E688" s="112" t="b">
        <v>0</v>
      </c>
      <c r="F688" s="112" t="b">
        <v>0</v>
      </c>
      <c r="G688" s="112" t="s">
        <v>3188</v>
      </c>
    </row>
    <row r="689" spans="1:7" ht="15">
      <c r="A689" s="114" t="s">
        <v>2658</v>
      </c>
      <c r="B689" s="112">
        <v>3</v>
      </c>
      <c r="C689" s="115">
        <v>0.015648582186627288</v>
      </c>
      <c r="D689" s="112" t="b">
        <v>0</v>
      </c>
      <c r="E689" s="112" t="b">
        <v>0</v>
      </c>
      <c r="F689" s="112" t="b">
        <v>0</v>
      </c>
      <c r="G689" s="112" t="s">
        <v>3188</v>
      </c>
    </row>
    <row r="690" spans="1:7" ht="15">
      <c r="A690" s="114" t="s">
        <v>2376</v>
      </c>
      <c r="B690" s="112">
        <v>3</v>
      </c>
      <c r="C690" s="115">
        <v>0.015648582186627288</v>
      </c>
      <c r="D690" s="112" t="b">
        <v>0</v>
      </c>
      <c r="E690" s="112" t="b">
        <v>0</v>
      </c>
      <c r="F690" s="112" t="b">
        <v>0</v>
      </c>
      <c r="G690" s="112" t="s">
        <v>3188</v>
      </c>
    </row>
    <row r="691" spans="1:7" ht="15">
      <c r="A691" s="114" t="s">
        <v>2637</v>
      </c>
      <c r="B691" s="112">
        <v>3</v>
      </c>
      <c r="C691" s="115">
        <v>0.011706240565977707</v>
      </c>
      <c r="D691" s="112" t="b">
        <v>0</v>
      </c>
      <c r="E691" s="112" t="b">
        <v>0</v>
      </c>
      <c r="F691" s="112" t="b">
        <v>0</v>
      </c>
      <c r="G691" s="112" t="s">
        <v>3188</v>
      </c>
    </row>
    <row r="692" spans="1:7" ht="15">
      <c r="A692" s="114" t="s">
        <v>2643</v>
      </c>
      <c r="B692" s="112">
        <v>3</v>
      </c>
      <c r="C692" s="115">
        <v>0.011706240565977707</v>
      </c>
      <c r="D692" s="112" t="b">
        <v>0</v>
      </c>
      <c r="E692" s="112" t="b">
        <v>0</v>
      </c>
      <c r="F692" s="112" t="b">
        <v>0</v>
      </c>
      <c r="G692" s="112" t="s">
        <v>3188</v>
      </c>
    </row>
    <row r="693" spans="1:7" ht="15">
      <c r="A693" s="114" t="s">
        <v>2676</v>
      </c>
      <c r="B693" s="112">
        <v>3</v>
      </c>
      <c r="C693" s="115">
        <v>0.011706240565977707</v>
      </c>
      <c r="D693" s="112" t="b">
        <v>0</v>
      </c>
      <c r="E693" s="112" t="b">
        <v>0</v>
      </c>
      <c r="F693" s="112" t="b">
        <v>0</v>
      </c>
      <c r="G693" s="112" t="s">
        <v>3188</v>
      </c>
    </row>
    <row r="694" spans="1:7" ht="15">
      <c r="A694" s="114" t="s">
        <v>681</v>
      </c>
      <c r="B694" s="112">
        <v>3</v>
      </c>
      <c r="C694" s="115">
        <v>0.015648582186627288</v>
      </c>
      <c r="D694" s="112" t="b">
        <v>1</v>
      </c>
      <c r="E694" s="112" t="b">
        <v>0</v>
      </c>
      <c r="F694" s="112" t="b">
        <v>0</v>
      </c>
      <c r="G694" s="112" t="s">
        <v>3188</v>
      </c>
    </row>
    <row r="695" spans="1:7" ht="15">
      <c r="A695" s="114" t="s">
        <v>2380</v>
      </c>
      <c r="B695" s="112">
        <v>2</v>
      </c>
      <c r="C695" s="115">
        <v>0.010432388124418192</v>
      </c>
      <c r="D695" s="112" t="b">
        <v>0</v>
      </c>
      <c r="E695" s="112" t="b">
        <v>0</v>
      </c>
      <c r="F695" s="112" t="b">
        <v>0</v>
      </c>
      <c r="G695" s="112" t="s">
        <v>3188</v>
      </c>
    </row>
    <row r="696" spans="1:7" ht="15">
      <c r="A696" s="114" t="s">
        <v>2644</v>
      </c>
      <c r="B696" s="112">
        <v>2</v>
      </c>
      <c r="C696" s="115">
        <v>0.010432388124418192</v>
      </c>
      <c r="D696" s="112" t="b">
        <v>0</v>
      </c>
      <c r="E696" s="112" t="b">
        <v>0</v>
      </c>
      <c r="F696" s="112" t="b">
        <v>0</v>
      </c>
      <c r="G696" s="112" t="s">
        <v>3188</v>
      </c>
    </row>
    <row r="697" spans="1:7" ht="15">
      <c r="A697" s="114" t="s">
        <v>2917</v>
      </c>
      <c r="B697" s="112">
        <v>2</v>
      </c>
      <c r="C697" s="115">
        <v>0.010432388124418192</v>
      </c>
      <c r="D697" s="112" t="b">
        <v>0</v>
      </c>
      <c r="E697" s="112" t="b">
        <v>1</v>
      </c>
      <c r="F697" s="112" t="b">
        <v>0</v>
      </c>
      <c r="G697" s="112" t="s">
        <v>3188</v>
      </c>
    </row>
    <row r="698" spans="1:7" ht="15">
      <c r="A698" s="114" t="s">
        <v>2858</v>
      </c>
      <c r="B698" s="112">
        <v>2</v>
      </c>
      <c r="C698" s="115">
        <v>0.010432388124418192</v>
      </c>
      <c r="D698" s="112" t="b">
        <v>0</v>
      </c>
      <c r="E698" s="112" t="b">
        <v>0</v>
      </c>
      <c r="F698" s="112" t="b">
        <v>0</v>
      </c>
      <c r="G698" s="112" t="s">
        <v>3188</v>
      </c>
    </row>
    <row r="699" spans="1:7" ht="15">
      <c r="A699" s="114" t="s">
        <v>2741</v>
      </c>
      <c r="B699" s="112">
        <v>2</v>
      </c>
      <c r="C699" s="115">
        <v>0.010432388124418192</v>
      </c>
      <c r="D699" s="112" t="b">
        <v>1</v>
      </c>
      <c r="E699" s="112" t="b">
        <v>0</v>
      </c>
      <c r="F699" s="112" t="b">
        <v>0</v>
      </c>
      <c r="G699" s="112" t="s">
        <v>3188</v>
      </c>
    </row>
    <row r="700" spans="1:7" ht="15">
      <c r="A700" s="114" t="s">
        <v>314</v>
      </c>
      <c r="B700" s="112">
        <v>2</v>
      </c>
      <c r="C700" s="115">
        <v>0.010432388124418192</v>
      </c>
      <c r="D700" s="112" t="b">
        <v>0</v>
      </c>
      <c r="E700" s="112" t="b">
        <v>0</v>
      </c>
      <c r="F700" s="112" t="b">
        <v>0</v>
      </c>
      <c r="G700" s="112" t="s">
        <v>3188</v>
      </c>
    </row>
    <row r="701" spans="1:7" ht="15">
      <c r="A701" s="114" t="s">
        <v>2379</v>
      </c>
      <c r="B701" s="112">
        <v>2</v>
      </c>
      <c r="C701" s="115">
        <v>0.010432388124418192</v>
      </c>
      <c r="D701" s="112" t="b">
        <v>0</v>
      </c>
      <c r="E701" s="112" t="b">
        <v>0</v>
      </c>
      <c r="F701" s="112" t="b">
        <v>0</v>
      </c>
      <c r="G701" s="112" t="s">
        <v>3188</v>
      </c>
    </row>
    <row r="702" spans="1:7" ht="15">
      <c r="A702" s="114" t="s">
        <v>2662</v>
      </c>
      <c r="B702" s="112">
        <v>2</v>
      </c>
      <c r="C702" s="115">
        <v>0.010432388124418192</v>
      </c>
      <c r="D702" s="112" t="b">
        <v>0</v>
      </c>
      <c r="E702" s="112" t="b">
        <v>0</v>
      </c>
      <c r="F702" s="112" t="b">
        <v>0</v>
      </c>
      <c r="G702" s="112" t="s">
        <v>3188</v>
      </c>
    </row>
    <row r="703" spans="1:7" ht="15">
      <c r="A703" s="114" t="s">
        <v>681</v>
      </c>
      <c r="B703" s="112">
        <v>10</v>
      </c>
      <c r="C703" s="115">
        <v>0.007689574631252455</v>
      </c>
      <c r="D703" s="112" t="b">
        <v>1</v>
      </c>
      <c r="E703" s="112" t="b">
        <v>0</v>
      </c>
      <c r="F703" s="112" t="b">
        <v>0</v>
      </c>
      <c r="G703" s="112" t="s">
        <v>3189</v>
      </c>
    </row>
    <row r="704" spans="1:7" ht="15">
      <c r="A704" s="114" t="s">
        <v>2374</v>
      </c>
      <c r="B704" s="112">
        <v>8</v>
      </c>
      <c r="C704" s="115">
        <v>0.006151659705001964</v>
      </c>
      <c r="D704" s="112" t="b">
        <v>1</v>
      </c>
      <c r="E704" s="112" t="b">
        <v>0</v>
      </c>
      <c r="F704" s="112" t="b">
        <v>0</v>
      </c>
      <c r="G704" s="112" t="s">
        <v>3189</v>
      </c>
    </row>
    <row r="705" spans="1:7" ht="15">
      <c r="A705" s="114" t="s">
        <v>2373</v>
      </c>
      <c r="B705" s="112">
        <v>8</v>
      </c>
      <c r="C705" s="115">
        <v>0.006151659705001964</v>
      </c>
      <c r="D705" s="112" t="b">
        <v>1</v>
      </c>
      <c r="E705" s="112" t="b">
        <v>0</v>
      </c>
      <c r="F705" s="112" t="b">
        <v>0</v>
      </c>
      <c r="G705" s="112" t="s">
        <v>3189</v>
      </c>
    </row>
    <row r="706" spans="1:7" ht="15">
      <c r="A706" s="114" t="s">
        <v>2645</v>
      </c>
      <c r="B706" s="112">
        <v>6</v>
      </c>
      <c r="C706" s="115">
        <v>0.007887248794689463</v>
      </c>
      <c r="D706" s="112" t="b">
        <v>0</v>
      </c>
      <c r="E706" s="112" t="b">
        <v>0</v>
      </c>
      <c r="F706" s="112" t="b">
        <v>0</v>
      </c>
      <c r="G706" s="112" t="s">
        <v>3189</v>
      </c>
    </row>
    <row r="707" spans="1:7" ht="15">
      <c r="A707" s="114" t="s">
        <v>2663</v>
      </c>
      <c r="B707" s="112">
        <v>5</v>
      </c>
      <c r="C707" s="115">
        <v>0.010417494644534113</v>
      </c>
      <c r="D707" s="112" t="b">
        <v>0</v>
      </c>
      <c r="E707" s="112" t="b">
        <v>1</v>
      </c>
      <c r="F707" s="112" t="b">
        <v>0</v>
      </c>
      <c r="G707" s="112" t="s">
        <v>3189</v>
      </c>
    </row>
    <row r="708" spans="1:7" ht="15">
      <c r="A708" s="114" t="s">
        <v>2376</v>
      </c>
      <c r="B708" s="112">
        <v>5</v>
      </c>
      <c r="C708" s="115">
        <v>0.010417494644534113</v>
      </c>
      <c r="D708" s="112" t="b">
        <v>0</v>
      </c>
      <c r="E708" s="112" t="b">
        <v>0</v>
      </c>
      <c r="F708" s="112" t="b">
        <v>0</v>
      </c>
      <c r="G708" s="112" t="s">
        <v>3189</v>
      </c>
    </row>
    <row r="709" spans="1:7" ht="15">
      <c r="A709" s="114" t="s">
        <v>2701</v>
      </c>
      <c r="B709" s="112">
        <v>5</v>
      </c>
      <c r="C709" s="115">
        <v>0.010417494644534113</v>
      </c>
      <c r="D709" s="112" t="b">
        <v>0</v>
      </c>
      <c r="E709" s="112" t="b">
        <v>0</v>
      </c>
      <c r="F709" s="112" t="b">
        <v>0</v>
      </c>
      <c r="G709" s="112" t="s">
        <v>3189</v>
      </c>
    </row>
    <row r="710" spans="1:7" ht="15">
      <c r="A710" s="114" t="s">
        <v>339</v>
      </c>
      <c r="B710" s="112">
        <v>4</v>
      </c>
      <c r="C710" s="115">
        <v>0.00833399571562729</v>
      </c>
      <c r="D710" s="112" t="b">
        <v>0</v>
      </c>
      <c r="E710" s="112" t="b">
        <v>0</v>
      </c>
      <c r="F710" s="112" t="b">
        <v>0</v>
      </c>
      <c r="G710" s="112" t="s">
        <v>3189</v>
      </c>
    </row>
    <row r="711" spans="1:7" ht="15">
      <c r="A711" s="114" t="s">
        <v>2752</v>
      </c>
      <c r="B711" s="112">
        <v>4</v>
      </c>
      <c r="C711" s="115">
        <v>0.013592161578753599</v>
      </c>
      <c r="D711" s="112" t="b">
        <v>0</v>
      </c>
      <c r="E711" s="112" t="b">
        <v>0</v>
      </c>
      <c r="F711" s="112" t="b">
        <v>0</v>
      </c>
      <c r="G711" s="112" t="s">
        <v>3189</v>
      </c>
    </row>
    <row r="712" spans="1:7" ht="15">
      <c r="A712" s="114" t="s">
        <v>2687</v>
      </c>
      <c r="B712" s="112">
        <v>4</v>
      </c>
      <c r="C712" s="115">
        <v>0.013592161578753599</v>
      </c>
      <c r="D712" s="112" t="b">
        <v>1</v>
      </c>
      <c r="E712" s="112" t="b">
        <v>0</v>
      </c>
      <c r="F712" s="112" t="b">
        <v>0</v>
      </c>
      <c r="G712" s="112" t="s">
        <v>3189</v>
      </c>
    </row>
    <row r="713" spans="1:7" ht="15">
      <c r="A713" s="114" t="s">
        <v>2704</v>
      </c>
      <c r="B713" s="112">
        <v>3</v>
      </c>
      <c r="C713" s="115">
        <v>0.007887248794689463</v>
      </c>
      <c r="D713" s="112" t="b">
        <v>0</v>
      </c>
      <c r="E713" s="112" t="b">
        <v>0</v>
      </c>
      <c r="F713" s="112" t="b">
        <v>0</v>
      </c>
      <c r="G713" s="112" t="s">
        <v>3189</v>
      </c>
    </row>
    <row r="714" spans="1:7" ht="15">
      <c r="A714" s="114" t="s">
        <v>2660</v>
      </c>
      <c r="B714" s="112">
        <v>3</v>
      </c>
      <c r="C714" s="115">
        <v>0.007887248794689463</v>
      </c>
      <c r="D714" s="112" t="b">
        <v>0</v>
      </c>
      <c r="E714" s="112" t="b">
        <v>0</v>
      </c>
      <c r="F714" s="112" t="b">
        <v>0</v>
      </c>
      <c r="G714" s="112" t="s">
        <v>3189</v>
      </c>
    </row>
    <row r="715" spans="1:7" ht="15">
      <c r="A715" s="114" t="s">
        <v>2665</v>
      </c>
      <c r="B715" s="112">
        <v>3</v>
      </c>
      <c r="C715" s="115">
        <v>0.0101941211840652</v>
      </c>
      <c r="D715" s="112" t="b">
        <v>0</v>
      </c>
      <c r="E715" s="112" t="b">
        <v>0</v>
      </c>
      <c r="F715" s="112" t="b">
        <v>0</v>
      </c>
      <c r="G715" s="112" t="s">
        <v>3189</v>
      </c>
    </row>
    <row r="716" spans="1:7" ht="15">
      <c r="A716" s="114" t="s">
        <v>2640</v>
      </c>
      <c r="B716" s="112">
        <v>3</v>
      </c>
      <c r="C716" s="115">
        <v>0.0101941211840652</v>
      </c>
      <c r="D716" s="112" t="b">
        <v>0</v>
      </c>
      <c r="E716" s="112" t="b">
        <v>0</v>
      </c>
      <c r="F716" s="112" t="b">
        <v>0</v>
      </c>
      <c r="G716" s="112" t="s">
        <v>3189</v>
      </c>
    </row>
    <row r="717" spans="1:7" ht="15">
      <c r="A717" s="114" t="s">
        <v>2922</v>
      </c>
      <c r="B717" s="112">
        <v>2</v>
      </c>
      <c r="C717" s="115">
        <v>0.0067960807893767995</v>
      </c>
      <c r="D717" s="112" t="b">
        <v>0</v>
      </c>
      <c r="E717" s="112" t="b">
        <v>1</v>
      </c>
      <c r="F717" s="112" t="b">
        <v>0</v>
      </c>
      <c r="G717" s="112" t="s">
        <v>3189</v>
      </c>
    </row>
    <row r="718" spans="1:7" ht="15">
      <c r="A718" s="114" t="s">
        <v>3015</v>
      </c>
      <c r="B718" s="112">
        <v>2</v>
      </c>
      <c r="C718" s="115">
        <v>0.009425163720939956</v>
      </c>
      <c r="D718" s="112" t="b">
        <v>0</v>
      </c>
      <c r="E718" s="112" t="b">
        <v>0</v>
      </c>
      <c r="F718" s="112" t="b">
        <v>0</v>
      </c>
      <c r="G718" s="112" t="s">
        <v>3189</v>
      </c>
    </row>
    <row r="719" spans="1:7" ht="15">
      <c r="A719" s="114" t="s">
        <v>2976</v>
      </c>
      <c r="B719" s="112">
        <v>2</v>
      </c>
      <c r="C719" s="115">
        <v>0.009425163720939956</v>
      </c>
      <c r="D719" s="112" t="b">
        <v>0</v>
      </c>
      <c r="E719" s="112" t="b">
        <v>0</v>
      </c>
      <c r="F719" s="112" t="b">
        <v>0</v>
      </c>
      <c r="G719" s="112" t="s">
        <v>3189</v>
      </c>
    </row>
    <row r="720" spans="1:7" ht="15">
      <c r="A720" s="114" t="s">
        <v>2967</v>
      </c>
      <c r="B720" s="112">
        <v>2</v>
      </c>
      <c r="C720" s="115">
        <v>0.0067960807893767995</v>
      </c>
      <c r="D720" s="112" t="b">
        <v>0</v>
      </c>
      <c r="E720" s="112" t="b">
        <v>0</v>
      </c>
      <c r="F720" s="112" t="b">
        <v>0</v>
      </c>
      <c r="G720" s="112" t="s">
        <v>3189</v>
      </c>
    </row>
    <row r="721" spans="1:7" ht="15">
      <c r="A721" s="114" t="s">
        <v>2688</v>
      </c>
      <c r="B721" s="112">
        <v>2</v>
      </c>
      <c r="C721" s="115">
        <v>0.0067960807893767995</v>
      </c>
      <c r="D721" s="112" t="b">
        <v>1</v>
      </c>
      <c r="E721" s="112" t="b">
        <v>0</v>
      </c>
      <c r="F721" s="112" t="b">
        <v>0</v>
      </c>
      <c r="G721" s="112" t="s">
        <v>3189</v>
      </c>
    </row>
    <row r="722" spans="1:7" ht="15">
      <c r="A722" s="114" t="s">
        <v>2698</v>
      </c>
      <c r="B722" s="112">
        <v>2</v>
      </c>
      <c r="C722" s="115">
        <v>0.0067960807893767995</v>
      </c>
      <c r="D722" s="112" t="b">
        <v>0</v>
      </c>
      <c r="E722" s="112" t="b">
        <v>0</v>
      </c>
      <c r="F722" s="112" t="b">
        <v>0</v>
      </c>
      <c r="G722" s="112" t="s">
        <v>3189</v>
      </c>
    </row>
    <row r="723" spans="1:7" ht="15">
      <c r="A723" s="114" t="s">
        <v>2810</v>
      </c>
      <c r="B723" s="112">
        <v>2</v>
      </c>
      <c r="C723" s="115">
        <v>0.009425163720939956</v>
      </c>
      <c r="D723" s="112" t="b">
        <v>0</v>
      </c>
      <c r="E723" s="112" t="b">
        <v>0</v>
      </c>
      <c r="F723" s="112" t="b">
        <v>0</v>
      </c>
      <c r="G723" s="112" t="s">
        <v>3189</v>
      </c>
    </row>
    <row r="724" spans="1:7" ht="15">
      <c r="A724" s="114" t="s">
        <v>2958</v>
      </c>
      <c r="B724" s="112">
        <v>2</v>
      </c>
      <c r="C724" s="115">
        <v>0.0067960807893767995</v>
      </c>
      <c r="D724" s="112" t="b">
        <v>0</v>
      </c>
      <c r="E724" s="112" t="b">
        <v>0</v>
      </c>
      <c r="F724" s="112" t="b">
        <v>0</v>
      </c>
      <c r="G724" s="112" t="s">
        <v>3189</v>
      </c>
    </row>
    <row r="725" spans="1:7" ht="15">
      <c r="A725" s="114" t="s">
        <v>2719</v>
      </c>
      <c r="B725" s="112">
        <v>2</v>
      </c>
      <c r="C725" s="115">
        <v>0.0067960807893767995</v>
      </c>
      <c r="D725" s="112" t="b">
        <v>0</v>
      </c>
      <c r="E725" s="112" t="b">
        <v>0</v>
      </c>
      <c r="F725" s="112" t="b">
        <v>0</v>
      </c>
      <c r="G725" s="112" t="s">
        <v>3189</v>
      </c>
    </row>
    <row r="726" spans="1:7" ht="15">
      <c r="A726" s="114" t="s">
        <v>288</v>
      </c>
      <c r="B726" s="112">
        <v>2</v>
      </c>
      <c r="C726" s="115">
        <v>0.0067960807893767995</v>
      </c>
      <c r="D726" s="112" t="b">
        <v>0</v>
      </c>
      <c r="E726" s="112" t="b">
        <v>0</v>
      </c>
      <c r="F726" s="112" t="b">
        <v>0</v>
      </c>
      <c r="G726" s="112" t="s">
        <v>3189</v>
      </c>
    </row>
    <row r="727" spans="1:7" ht="15">
      <c r="A727" s="114" t="s">
        <v>2636</v>
      </c>
      <c r="B727" s="112">
        <v>2</v>
      </c>
      <c r="C727" s="115">
        <v>0.0067960807893767995</v>
      </c>
      <c r="D727" s="112" t="b">
        <v>0</v>
      </c>
      <c r="E727" s="112" t="b">
        <v>0</v>
      </c>
      <c r="F727" s="112" t="b">
        <v>0</v>
      </c>
      <c r="G727" s="112" t="s">
        <v>3189</v>
      </c>
    </row>
    <row r="728" spans="1:7" ht="15">
      <c r="A728" s="114" t="s">
        <v>2639</v>
      </c>
      <c r="B728" s="112">
        <v>2</v>
      </c>
      <c r="C728" s="115">
        <v>0.0067960807893767995</v>
      </c>
      <c r="D728" s="112" t="b">
        <v>0</v>
      </c>
      <c r="E728" s="112" t="b">
        <v>0</v>
      </c>
      <c r="F728" s="112" t="b">
        <v>0</v>
      </c>
      <c r="G728" s="112" t="s">
        <v>3189</v>
      </c>
    </row>
    <row r="729" spans="1:7" ht="15">
      <c r="A729" s="114" t="s">
        <v>2906</v>
      </c>
      <c r="B729" s="112">
        <v>2</v>
      </c>
      <c r="C729" s="115">
        <v>0.009425163720939956</v>
      </c>
      <c r="D729" s="112" t="b">
        <v>0</v>
      </c>
      <c r="E729" s="112" t="b">
        <v>0</v>
      </c>
      <c r="F729" s="112" t="b">
        <v>0</v>
      </c>
      <c r="G729" s="112" t="s">
        <v>3189</v>
      </c>
    </row>
    <row r="730" spans="1:7" ht="15">
      <c r="A730" s="114" t="s">
        <v>2924</v>
      </c>
      <c r="B730" s="112">
        <v>2</v>
      </c>
      <c r="C730" s="115">
        <v>0.0067960807893767995</v>
      </c>
      <c r="D730" s="112" t="b">
        <v>0</v>
      </c>
      <c r="E730" s="112" t="b">
        <v>1</v>
      </c>
      <c r="F730" s="112" t="b">
        <v>0</v>
      </c>
      <c r="G730" s="112" t="s">
        <v>3189</v>
      </c>
    </row>
    <row r="731" spans="1:7" ht="15">
      <c r="A731" s="114" t="s">
        <v>2661</v>
      </c>
      <c r="B731" s="112">
        <v>2</v>
      </c>
      <c r="C731" s="115">
        <v>0.0067960807893767995</v>
      </c>
      <c r="D731" s="112" t="b">
        <v>1</v>
      </c>
      <c r="E731" s="112" t="b">
        <v>0</v>
      </c>
      <c r="F731" s="112" t="b">
        <v>0</v>
      </c>
      <c r="G731" s="112" t="s">
        <v>3189</v>
      </c>
    </row>
    <row r="732" spans="1:7" ht="15">
      <c r="A732" s="114" t="s">
        <v>2672</v>
      </c>
      <c r="B732" s="112">
        <v>2</v>
      </c>
      <c r="C732" s="115">
        <v>0.009425163720939956</v>
      </c>
      <c r="D732" s="112" t="b">
        <v>0</v>
      </c>
      <c r="E732" s="112" t="b">
        <v>0</v>
      </c>
      <c r="F732" s="112" t="b">
        <v>0</v>
      </c>
      <c r="G732" s="112" t="s">
        <v>3189</v>
      </c>
    </row>
    <row r="733" spans="1:7" ht="15">
      <c r="A733" s="114" t="s">
        <v>2983</v>
      </c>
      <c r="B733" s="112">
        <v>2</v>
      </c>
      <c r="C733" s="115">
        <v>0.0067960807893767995</v>
      </c>
      <c r="D733" s="112" t="b">
        <v>0</v>
      </c>
      <c r="E733" s="112" t="b">
        <v>0</v>
      </c>
      <c r="F733" s="112" t="b">
        <v>0</v>
      </c>
      <c r="G733" s="112" t="s">
        <v>3189</v>
      </c>
    </row>
    <row r="734" spans="1:7" ht="15">
      <c r="A734" s="114" t="s">
        <v>2964</v>
      </c>
      <c r="B734" s="112">
        <v>2</v>
      </c>
      <c r="C734" s="115">
        <v>0.009425163720939956</v>
      </c>
      <c r="D734" s="112" t="b">
        <v>0</v>
      </c>
      <c r="E734" s="112" t="b">
        <v>1</v>
      </c>
      <c r="F734" s="112" t="b">
        <v>0</v>
      </c>
      <c r="G734" s="112" t="s">
        <v>3189</v>
      </c>
    </row>
    <row r="735" spans="1:7" ht="15">
      <c r="A735" s="114" t="s">
        <v>2656</v>
      </c>
      <c r="B735" s="112">
        <v>2</v>
      </c>
      <c r="C735" s="115">
        <v>0.009425163720939956</v>
      </c>
      <c r="D735" s="112" t="b">
        <v>0</v>
      </c>
      <c r="E735" s="112" t="b">
        <v>0</v>
      </c>
      <c r="F735" s="112" t="b">
        <v>0</v>
      </c>
      <c r="G735" s="112" t="s">
        <v>3189</v>
      </c>
    </row>
    <row r="736" spans="1:7" ht="15">
      <c r="A736" s="114" t="s">
        <v>2378</v>
      </c>
      <c r="B736" s="112">
        <v>2</v>
      </c>
      <c r="C736" s="115">
        <v>0.0067960807893767995</v>
      </c>
      <c r="D736" s="112" t="b">
        <v>0</v>
      </c>
      <c r="E736" s="112" t="b">
        <v>0</v>
      </c>
      <c r="F736" s="112" t="b">
        <v>0</v>
      </c>
      <c r="G736" s="112" t="s">
        <v>3189</v>
      </c>
    </row>
    <row r="737" spans="1:7" ht="15">
      <c r="A737" s="114" t="s">
        <v>2816</v>
      </c>
      <c r="B737" s="112">
        <v>2</v>
      </c>
      <c r="C737" s="115">
        <v>0.0067960807893767995</v>
      </c>
      <c r="D737" s="112" t="b">
        <v>0</v>
      </c>
      <c r="E737" s="112" t="b">
        <v>0</v>
      </c>
      <c r="F737" s="112" t="b">
        <v>0</v>
      </c>
      <c r="G737" s="112" t="s">
        <v>3189</v>
      </c>
    </row>
    <row r="738" spans="1:7" ht="15">
      <c r="A738" s="114" t="s">
        <v>2694</v>
      </c>
      <c r="B738" s="112">
        <v>2</v>
      </c>
      <c r="C738" s="115">
        <v>0.0067960807893767995</v>
      </c>
      <c r="D738" s="112" t="b">
        <v>0</v>
      </c>
      <c r="E738" s="112" t="b">
        <v>0</v>
      </c>
      <c r="F738" s="112" t="b">
        <v>0</v>
      </c>
      <c r="G738" s="112" t="s">
        <v>3189</v>
      </c>
    </row>
    <row r="739" spans="1:7" ht="15">
      <c r="A739" s="114" t="s">
        <v>2655</v>
      </c>
      <c r="B739" s="112">
        <v>2</v>
      </c>
      <c r="C739" s="115">
        <v>0.009425163720939956</v>
      </c>
      <c r="D739" s="112" t="b">
        <v>0</v>
      </c>
      <c r="E739" s="112" t="b">
        <v>0</v>
      </c>
      <c r="F739" s="112" t="b">
        <v>0</v>
      </c>
      <c r="G739" s="112" t="s">
        <v>3189</v>
      </c>
    </row>
    <row r="740" spans="1:7" ht="15">
      <c r="A740" s="114" t="s">
        <v>2377</v>
      </c>
      <c r="B740" s="112">
        <v>2</v>
      </c>
      <c r="C740" s="115">
        <v>0.009425163720939956</v>
      </c>
      <c r="D740" s="112" t="b">
        <v>0</v>
      </c>
      <c r="E740" s="112" t="b">
        <v>0</v>
      </c>
      <c r="F740" s="112" t="b">
        <v>0</v>
      </c>
      <c r="G740" s="112" t="s">
        <v>3189</v>
      </c>
    </row>
    <row r="741" spans="1:7" ht="15">
      <c r="A741" s="114" t="s">
        <v>2785</v>
      </c>
      <c r="B741" s="112">
        <v>2</v>
      </c>
      <c r="C741" s="115">
        <v>0.009425163720939956</v>
      </c>
      <c r="D741" s="112" t="b">
        <v>0</v>
      </c>
      <c r="E741" s="112" t="b">
        <v>0</v>
      </c>
      <c r="F741" s="112" t="b">
        <v>0</v>
      </c>
      <c r="G741" s="112" t="s">
        <v>3189</v>
      </c>
    </row>
    <row r="742" spans="1:7" ht="15">
      <c r="A742" s="114" t="s">
        <v>2909</v>
      </c>
      <c r="B742" s="112">
        <v>2</v>
      </c>
      <c r="C742" s="115">
        <v>0.0067960807893767995</v>
      </c>
      <c r="D742" s="112" t="b">
        <v>0</v>
      </c>
      <c r="E742" s="112" t="b">
        <v>0</v>
      </c>
      <c r="F742" s="112" t="b">
        <v>0</v>
      </c>
      <c r="G742" s="112" t="s">
        <v>3189</v>
      </c>
    </row>
    <row r="743" spans="1:7" ht="15">
      <c r="A743" s="114" t="s">
        <v>2860</v>
      </c>
      <c r="B743" s="112">
        <v>2</v>
      </c>
      <c r="C743" s="115">
        <v>0.009425163720939956</v>
      </c>
      <c r="D743" s="112" t="b">
        <v>0</v>
      </c>
      <c r="E743" s="112" t="b">
        <v>0</v>
      </c>
      <c r="F743" s="112" t="b">
        <v>0</v>
      </c>
      <c r="G743" s="112" t="s">
        <v>3189</v>
      </c>
    </row>
    <row r="744" spans="1:7" ht="15">
      <c r="A744" s="114" t="s">
        <v>2671</v>
      </c>
      <c r="B744" s="112">
        <v>2</v>
      </c>
      <c r="C744" s="115">
        <v>0.0067960807893767995</v>
      </c>
      <c r="D744" s="112" t="b">
        <v>1</v>
      </c>
      <c r="E744" s="112" t="b">
        <v>0</v>
      </c>
      <c r="F744" s="112" t="b">
        <v>0</v>
      </c>
      <c r="G744" s="112" t="s">
        <v>3189</v>
      </c>
    </row>
    <row r="745" spans="1:7" ht="15">
      <c r="A745" s="114" t="s">
        <v>2768</v>
      </c>
      <c r="B745" s="112">
        <v>2</v>
      </c>
      <c r="C745" s="115">
        <v>0.009425163720939956</v>
      </c>
      <c r="D745" s="112" t="b">
        <v>0</v>
      </c>
      <c r="E745" s="112" t="b">
        <v>0</v>
      </c>
      <c r="F745" s="112" t="b">
        <v>0</v>
      </c>
      <c r="G745" s="112" t="s">
        <v>3189</v>
      </c>
    </row>
    <row r="746" spans="1:7" ht="15">
      <c r="A746" s="114" t="s">
        <v>2374</v>
      </c>
      <c r="B746" s="112">
        <v>8</v>
      </c>
      <c r="C746" s="115">
        <v>0.005274014313363614</v>
      </c>
      <c r="D746" s="112" t="b">
        <v>1</v>
      </c>
      <c r="E746" s="112" t="b">
        <v>0</v>
      </c>
      <c r="F746" s="112" t="b">
        <v>0</v>
      </c>
      <c r="G746" s="112" t="s">
        <v>3190</v>
      </c>
    </row>
    <row r="747" spans="1:7" ht="15">
      <c r="A747" s="114" t="s">
        <v>2373</v>
      </c>
      <c r="B747" s="112">
        <v>8</v>
      </c>
      <c r="C747" s="115">
        <v>0.005274014313363614</v>
      </c>
      <c r="D747" s="112" t="b">
        <v>1</v>
      </c>
      <c r="E747" s="112" t="b">
        <v>0</v>
      </c>
      <c r="F747" s="112" t="b">
        <v>0</v>
      </c>
      <c r="G747" s="112" t="s">
        <v>3190</v>
      </c>
    </row>
    <row r="748" spans="1:7" ht="15">
      <c r="A748" s="114" t="s">
        <v>681</v>
      </c>
      <c r="B748" s="112">
        <v>7</v>
      </c>
      <c r="C748" s="115">
        <v>0.007376283808844913</v>
      </c>
      <c r="D748" s="112" t="b">
        <v>1</v>
      </c>
      <c r="E748" s="112" t="b">
        <v>0</v>
      </c>
      <c r="F748" s="112" t="b">
        <v>0</v>
      </c>
      <c r="G748" s="112" t="s">
        <v>3190</v>
      </c>
    </row>
    <row r="749" spans="1:7" ht="15">
      <c r="A749" s="114" t="s">
        <v>2376</v>
      </c>
      <c r="B749" s="112">
        <v>4</v>
      </c>
      <c r="C749" s="115">
        <v>0.014227993068852723</v>
      </c>
      <c r="D749" s="112" t="b">
        <v>0</v>
      </c>
      <c r="E749" s="112" t="b">
        <v>0</v>
      </c>
      <c r="F749" s="112" t="b">
        <v>0</v>
      </c>
      <c r="G749" s="112" t="s">
        <v>3190</v>
      </c>
    </row>
    <row r="750" spans="1:7" ht="15">
      <c r="A750" s="114" t="s">
        <v>2689</v>
      </c>
      <c r="B750" s="112">
        <v>3</v>
      </c>
      <c r="C750" s="115">
        <v>0.0142646939660412</v>
      </c>
      <c r="D750" s="112" t="b">
        <v>0</v>
      </c>
      <c r="E750" s="112" t="b">
        <v>1</v>
      </c>
      <c r="F750" s="112" t="b">
        <v>0</v>
      </c>
      <c r="G750" s="112" t="s">
        <v>3190</v>
      </c>
    </row>
    <row r="751" spans="1:7" ht="15">
      <c r="A751" s="114" t="s">
        <v>2377</v>
      </c>
      <c r="B751" s="112">
        <v>3</v>
      </c>
      <c r="C751" s="115">
        <v>0.0142646939660412</v>
      </c>
      <c r="D751" s="112" t="b">
        <v>0</v>
      </c>
      <c r="E751" s="112" t="b">
        <v>0</v>
      </c>
      <c r="F751" s="112" t="b">
        <v>0</v>
      </c>
      <c r="G751" s="112" t="s">
        <v>3190</v>
      </c>
    </row>
    <row r="752" spans="1:7" ht="15">
      <c r="A752" s="114" t="s">
        <v>2739</v>
      </c>
      <c r="B752" s="112">
        <v>2</v>
      </c>
      <c r="C752" s="115">
        <v>0.0095097959773608</v>
      </c>
      <c r="D752" s="112" t="b">
        <v>1</v>
      </c>
      <c r="E752" s="112" t="b">
        <v>0</v>
      </c>
      <c r="F752" s="112" t="b">
        <v>0</v>
      </c>
      <c r="G752" s="112" t="s">
        <v>3190</v>
      </c>
    </row>
    <row r="753" spans="1:7" ht="15">
      <c r="A753" s="114" t="s">
        <v>268</v>
      </c>
      <c r="B753" s="112">
        <v>2</v>
      </c>
      <c r="C753" s="115">
        <v>0.0095097959773608</v>
      </c>
      <c r="D753" s="112" t="b">
        <v>0</v>
      </c>
      <c r="E753" s="112" t="b">
        <v>0</v>
      </c>
      <c r="F753" s="112" t="b">
        <v>0</v>
      </c>
      <c r="G753" s="112" t="s">
        <v>3190</v>
      </c>
    </row>
    <row r="754" spans="1:7" ht="15">
      <c r="A754" s="114" t="s">
        <v>2641</v>
      </c>
      <c r="B754" s="112">
        <v>2</v>
      </c>
      <c r="C754" s="115">
        <v>0.0095097959773608</v>
      </c>
      <c r="D754" s="112" t="b">
        <v>0</v>
      </c>
      <c r="E754" s="112" t="b">
        <v>0</v>
      </c>
      <c r="F754" s="112" t="b">
        <v>0</v>
      </c>
      <c r="G754" s="112" t="s">
        <v>3190</v>
      </c>
    </row>
    <row r="755" spans="1:7" ht="15">
      <c r="A755" s="114" t="s">
        <v>2920</v>
      </c>
      <c r="B755" s="112">
        <v>2</v>
      </c>
      <c r="C755" s="115">
        <v>0.013605442176870748</v>
      </c>
      <c r="D755" s="112" t="b">
        <v>0</v>
      </c>
      <c r="E755" s="112" t="b">
        <v>0</v>
      </c>
      <c r="F755" s="112" t="b">
        <v>0</v>
      </c>
      <c r="G755" s="112" t="s">
        <v>3190</v>
      </c>
    </row>
    <row r="756" spans="1:7" ht="15">
      <c r="A756" s="114" t="s">
        <v>2736</v>
      </c>
      <c r="B756" s="112">
        <v>2</v>
      </c>
      <c r="C756" s="115">
        <v>0.013605442176870748</v>
      </c>
      <c r="D756" s="112" t="b">
        <v>0</v>
      </c>
      <c r="E756" s="112" t="b">
        <v>0</v>
      </c>
      <c r="F756" s="112" t="b">
        <v>0</v>
      </c>
      <c r="G756" s="112" t="s">
        <v>3190</v>
      </c>
    </row>
    <row r="757" spans="1:7" ht="15">
      <c r="A757" s="114" t="s">
        <v>377</v>
      </c>
      <c r="B757" s="112">
        <v>2</v>
      </c>
      <c r="C757" s="115">
        <v>0.0095097959773608</v>
      </c>
      <c r="D757" s="112" t="b">
        <v>0</v>
      </c>
      <c r="E757" s="112" t="b">
        <v>0</v>
      </c>
      <c r="F757" s="112" t="b">
        <v>0</v>
      </c>
      <c r="G757" s="112" t="s">
        <v>3190</v>
      </c>
    </row>
    <row r="758" spans="1:7" ht="15">
      <c r="A758" s="114" t="s">
        <v>2715</v>
      </c>
      <c r="B758" s="112">
        <v>2</v>
      </c>
      <c r="C758" s="115">
        <v>0.0095097959773608</v>
      </c>
      <c r="D758" s="112" t="b">
        <v>1</v>
      </c>
      <c r="E758" s="112" t="b">
        <v>0</v>
      </c>
      <c r="F758" s="112" t="b">
        <v>0</v>
      </c>
      <c r="G758" s="112" t="s">
        <v>3190</v>
      </c>
    </row>
    <row r="759" spans="1:7" ht="15">
      <c r="A759" s="114" t="s">
        <v>2709</v>
      </c>
      <c r="B759" s="112">
        <v>2</v>
      </c>
      <c r="C759" s="115">
        <v>0.013605442176870748</v>
      </c>
      <c r="D759" s="112" t="b">
        <v>0</v>
      </c>
      <c r="E759" s="112" t="b">
        <v>0</v>
      </c>
      <c r="F759" s="112" t="b">
        <v>0</v>
      </c>
      <c r="G759" s="112" t="s">
        <v>3190</v>
      </c>
    </row>
    <row r="760" spans="1:7" ht="15">
      <c r="A760" s="114" t="s">
        <v>2770</v>
      </c>
      <c r="B760" s="112">
        <v>2</v>
      </c>
      <c r="C760" s="115">
        <v>0.013605442176870748</v>
      </c>
      <c r="D760" s="112" t="b">
        <v>0</v>
      </c>
      <c r="E760" s="112" t="b">
        <v>0</v>
      </c>
      <c r="F760" s="112" t="b">
        <v>0</v>
      </c>
      <c r="G760" s="112" t="s">
        <v>3190</v>
      </c>
    </row>
    <row r="761" spans="1:7" ht="15">
      <c r="A761" s="114" t="s">
        <v>2381</v>
      </c>
      <c r="B761" s="112">
        <v>2</v>
      </c>
      <c r="C761" s="115">
        <v>0.0095097959773608</v>
      </c>
      <c r="D761" s="112" t="b">
        <v>0</v>
      </c>
      <c r="E761" s="112" t="b">
        <v>0</v>
      </c>
      <c r="F761" s="112" t="b">
        <v>0</v>
      </c>
      <c r="G761" s="112" t="s">
        <v>3190</v>
      </c>
    </row>
    <row r="762" spans="1:7" ht="15">
      <c r="A762" s="114" t="s">
        <v>2989</v>
      </c>
      <c r="B762" s="112">
        <v>2</v>
      </c>
      <c r="C762" s="115">
        <v>0.013605442176870748</v>
      </c>
      <c r="D762" s="112" t="b">
        <v>0</v>
      </c>
      <c r="E762" s="112" t="b">
        <v>0</v>
      </c>
      <c r="F762" s="112" t="b">
        <v>0</v>
      </c>
      <c r="G762" s="112" t="s">
        <v>3190</v>
      </c>
    </row>
    <row r="763" spans="1:7" ht="15">
      <c r="A763" s="114" t="s">
        <v>2649</v>
      </c>
      <c r="B763" s="112">
        <v>2</v>
      </c>
      <c r="C763" s="115">
        <v>0</v>
      </c>
      <c r="D763" s="112" t="b">
        <v>1</v>
      </c>
      <c r="E763" s="112" t="b">
        <v>0</v>
      </c>
      <c r="F763" s="112" t="b">
        <v>0</v>
      </c>
      <c r="G763" s="112" t="s">
        <v>3191</v>
      </c>
    </row>
    <row r="764" spans="1:7" ht="15">
      <c r="A764" s="114" t="s">
        <v>2378</v>
      </c>
      <c r="B764" s="112">
        <v>2</v>
      </c>
      <c r="C764" s="115">
        <v>0</v>
      </c>
      <c r="D764" s="112" t="b">
        <v>0</v>
      </c>
      <c r="E764" s="112" t="b">
        <v>0</v>
      </c>
      <c r="F764" s="112" t="b">
        <v>0</v>
      </c>
      <c r="G764" s="112" t="s">
        <v>3191</v>
      </c>
    </row>
    <row r="765" spans="1:7" ht="15">
      <c r="A765" s="114" t="s">
        <v>2990</v>
      </c>
      <c r="B765" s="112">
        <v>2</v>
      </c>
      <c r="C765" s="115">
        <v>0</v>
      </c>
      <c r="D765" s="112" t="b">
        <v>0</v>
      </c>
      <c r="E765" s="112" t="b">
        <v>0</v>
      </c>
      <c r="F765" s="112" t="b">
        <v>0</v>
      </c>
      <c r="G765" s="112" t="s">
        <v>3191</v>
      </c>
    </row>
    <row r="766" spans="1:7" ht="15">
      <c r="A766" s="114" t="s">
        <v>2375</v>
      </c>
      <c r="B766" s="112">
        <v>4</v>
      </c>
      <c r="C766" s="115">
        <v>0.019382002601611284</v>
      </c>
      <c r="D766" s="112" t="b">
        <v>1</v>
      </c>
      <c r="E766" s="112" t="b">
        <v>0</v>
      </c>
      <c r="F766" s="112" t="b">
        <v>0</v>
      </c>
      <c r="G766" s="112" t="s">
        <v>3192</v>
      </c>
    </row>
    <row r="767" spans="1:7" ht="15">
      <c r="A767" s="114" t="s">
        <v>400</v>
      </c>
      <c r="B767" s="112">
        <v>2</v>
      </c>
      <c r="C767" s="115">
        <v>0.03979400086720376</v>
      </c>
      <c r="D767" s="112" t="b">
        <v>0</v>
      </c>
      <c r="E767" s="112" t="b">
        <v>0</v>
      </c>
      <c r="F767" s="112" t="b">
        <v>0</v>
      </c>
      <c r="G767" s="112" t="s">
        <v>3192</v>
      </c>
    </row>
    <row r="768" spans="1:7" ht="15">
      <c r="A768" s="114" t="s">
        <v>354</v>
      </c>
      <c r="B768" s="112">
        <v>2</v>
      </c>
      <c r="C768" s="115">
        <v>0.03979400086720376</v>
      </c>
      <c r="D768" s="112" t="b">
        <v>0</v>
      </c>
      <c r="E768" s="112" t="b">
        <v>0</v>
      </c>
      <c r="F768" s="112" t="b">
        <v>0</v>
      </c>
      <c r="G768" s="112" t="s">
        <v>3192</v>
      </c>
    </row>
    <row r="769" spans="1:7" ht="15">
      <c r="A769" s="114" t="s">
        <v>2674</v>
      </c>
      <c r="B769" s="112">
        <v>5</v>
      </c>
      <c r="C769" s="115">
        <v>0.020339864571890624</v>
      </c>
      <c r="D769" s="112" t="b">
        <v>0</v>
      </c>
      <c r="E769" s="112" t="b">
        <v>0</v>
      </c>
      <c r="F769" s="112" t="b">
        <v>0</v>
      </c>
      <c r="G769" s="112" t="s">
        <v>3193</v>
      </c>
    </row>
    <row r="770" spans="1:7" ht="15">
      <c r="A770" s="114" t="s">
        <v>2375</v>
      </c>
      <c r="B770" s="112">
        <v>3</v>
      </c>
      <c r="C770" s="115">
        <v>0.005065083916552701</v>
      </c>
      <c r="D770" s="112" t="b">
        <v>1</v>
      </c>
      <c r="E770" s="112" t="b">
        <v>0</v>
      </c>
      <c r="F770" s="112" t="b">
        <v>0</v>
      </c>
      <c r="G770" s="112" t="s">
        <v>3193</v>
      </c>
    </row>
    <row r="771" spans="1:7" ht="15">
      <c r="A771" s="114" t="s">
        <v>2648</v>
      </c>
      <c r="B771" s="112">
        <v>3</v>
      </c>
      <c r="C771" s="115">
        <v>0.012203918743134373</v>
      </c>
      <c r="D771" s="112" t="b">
        <v>0</v>
      </c>
      <c r="E771" s="112" t="b">
        <v>0</v>
      </c>
      <c r="F771" s="112" t="b">
        <v>0</v>
      </c>
      <c r="G771" s="112" t="s">
        <v>3193</v>
      </c>
    </row>
    <row r="772" spans="1:7" ht="15">
      <c r="A772" s="114" t="s">
        <v>2813</v>
      </c>
      <c r="B772" s="112">
        <v>2</v>
      </c>
      <c r="C772" s="115">
        <v>0.00813594582875625</v>
      </c>
      <c r="D772" s="112" t="b">
        <v>0</v>
      </c>
      <c r="E772" s="112" t="b">
        <v>0</v>
      </c>
      <c r="F772" s="112" t="b">
        <v>0</v>
      </c>
      <c r="G772" s="112" t="s">
        <v>3193</v>
      </c>
    </row>
    <row r="773" spans="1:7" ht="15">
      <c r="A773" s="114" t="s">
        <v>2888</v>
      </c>
      <c r="B773" s="112">
        <v>2</v>
      </c>
      <c r="C773" s="115">
        <v>0.0162718916575125</v>
      </c>
      <c r="D773" s="112" t="b">
        <v>0</v>
      </c>
      <c r="E773" s="112" t="b">
        <v>0</v>
      </c>
      <c r="F773" s="112" t="b">
        <v>0</v>
      </c>
      <c r="G773" s="112" t="s">
        <v>3193</v>
      </c>
    </row>
    <row r="774" spans="1:7" ht="15">
      <c r="A774" s="114" t="s">
        <v>2639</v>
      </c>
      <c r="B774" s="112">
        <v>2</v>
      </c>
      <c r="C774" s="115">
        <v>0.0162718916575125</v>
      </c>
      <c r="D774" s="112" t="b">
        <v>0</v>
      </c>
      <c r="E774" s="112" t="b">
        <v>0</v>
      </c>
      <c r="F774" s="112" t="b">
        <v>0</v>
      </c>
      <c r="G774" s="112" t="s">
        <v>3193</v>
      </c>
    </row>
    <row r="775" spans="1:7" ht="15">
      <c r="A775" s="114" t="s">
        <v>2644</v>
      </c>
      <c r="B775" s="112">
        <v>2</v>
      </c>
      <c r="C775" s="115">
        <v>0.0162718916575125</v>
      </c>
      <c r="D775" s="112" t="b">
        <v>0</v>
      </c>
      <c r="E775" s="112" t="b">
        <v>0</v>
      </c>
      <c r="F775" s="112" t="b">
        <v>0</v>
      </c>
      <c r="G775" s="112" t="s">
        <v>3193</v>
      </c>
    </row>
    <row r="776" spans="1:7" ht="15">
      <c r="A776" s="114" t="s">
        <v>345</v>
      </c>
      <c r="B776" s="112">
        <v>2</v>
      </c>
      <c r="C776" s="115">
        <v>0.00813594582875625</v>
      </c>
      <c r="D776" s="112" t="b">
        <v>0</v>
      </c>
      <c r="E776" s="112" t="b">
        <v>0</v>
      </c>
      <c r="F776" s="112" t="b">
        <v>0</v>
      </c>
      <c r="G776" s="112" t="s">
        <v>3193</v>
      </c>
    </row>
    <row r="777" spans="1:7" ht="15">
      <c r="A777" s="114" t="s">
        <v>2376</v>
      </c>
      <c r="B777" s="112">
        <v>2</v>
      </c>
      <c r="C777" s="115">
        <v>0.0162718916575125</v>
      </c>
      <c r="D777" s="112" t="b">
        <v>0</v>
      </c>
      <c r="E777" s="112" t="b">
        <v>0</v>
      </c>
      <c r="F777" s="112" t="b">
        <v>0</v>
      </c>
      <c r="G777" s="112" t="s">
        <v>3193</v>
      </c>
    </row>
    <row r="778" spans="1:7" ht="15">
      <c r="A778" s="114" t="s">
        <v>2804</v>
      </c>
      <c r="B778" s="112">
        <v>2</v>
      </c>
      <c r="C778" s="115">
        <v>0.0162718916575125</v>
      </c>
      <c r="D778" s="112" t="b">
        <v>1</v>
      </c>
      <c r="E778" s="112" t="b">
        <v>0</v>
      </c>
      <c r="F778" s="112" t="b">
        <v>0</v>
      </c>
      <c r="G778" s="112" t="s">
        <v>3193</v>
      </c>
    </row>
    <row r="779" spans="1:7" ht="15">
      <c r="A779" s="114" t="s">
        <v>2670</v>
      </c>
      <c r="B779" s="112">
        <v>2</v>
      </c>
      <c r="C779" s="115">
        <v>0.004143323742486617</v>
      </c>
      <c r="D779" s="112" t="b">
        <v>0</v>
      </c>
      <c r="E779" s="112" t="b">
        <v>0</v>
      </c>
      <c r="F779" s="112" t="b">
        <v>0</v>
      </c>
      <c r="G779" s="112" t="s">
        <v>3195</v>
      </c>
    </row>
    <row r="780" spans="1:7" ht="15">
      <c r="A780" s="114" t="s">
        <v>2661</v>
      </c>
      <c r="B780" s="112">
        <v>2</v>
      </c>
      <c r="C780" s="115">
        <v>0.011226382463992057</v>
      </c>
      <c r="D780" s="112" t="b">
        <v>1</v>
      </c>
      <c r="E780" s="112" t="b">
        <v>0</v>
      </c>
      <c r="F780" s="112" t="b">
        <v>0</v>
      </c>
      <c r="G780" s="112" t="s">
        <v>3195</v>
      </c>
    </row>
    <row r="781" spans="1:7" ht="15">
      <c r="A781" s="114" t="s">
        <v>3024</v>
      </c>
      <c r="B781" s="112">
        <v>2</v>
      </c>
      <c r="C781" s="115">
        <v>0.011226382463992057</v>
      </c>
      <c r="D781" s="112" t="b">
        <v>0</v>
      </c>
      <c r="E781" s="112" t="b">
        <v>0</v>
      </c>
      <c r="F781" s="112" t="b">
        <v>0</v>
      </c>
      <c r="G781" s="112" t="s">
        <v>3195</v>
      </c>
    </row>
    <row r="782" spans="1:7" ht="15">
      <c r="A782" s="114" t="s">
        <v>2649</v>
      </c>
      <c r="B782" s="112">
        <v>2</v>
      </c>
      <c r="C782" s="115">
        <v>0.011226382463992057</v>
      </c>
      <c r="D782" s="112" t="b">
        <v>1</v>
      </c>
      <c r="E782" s="112" t="b">
        <v>0</v>
      </c>
      <c r="F782" s="112" t="b">
        <v>0</v>
      </c>
      <c r="G782" s="112" t="s">
        <v>3195</v>
      </c>
    </row>
    <row r="783" spans="1:7" ht="15">
      <c r="A783" s="114" t="s">
        <v>2374</v>
      </c>
      <c r="B783" s="112">
        <v>5</v>
      </c>
      <c r="C783" s="115">
        <v>0.004970341349599933</v>
      </c>
      <c r="D783" s="112" t="b">
        <v>1</v>
      </c>
      <c r="E783" s="112" t="b">
        <v>0</v>
      </c>
      <c r="F783" s="112" t="b">
        <v>0</v>
      </c>
      <c r="G783" s="112" t="s">
        <v>3196</v>
      </c>
    </row>
    <row r="784" spans="1:7" ht="15">
      <c r="A784" s="114" t="s">
        <v>2373</v>
      </c>
      <c r="B784" s="112">
        <v>5</v>
      </c>
      <c r="C784" s="115">
        <v>0.004970341349599933</v>
      </c>
      <c r="D784" s="112" t="b">
        <v>1</v>
      </c>
      <c r="E784" s="112" t="b">
        <v>0</v>
      </c>
      <c r="F784" s="112" t="b">
        <v>0</v>
      </c>
      <c r="G784" s="112" t="s">
        <v>3196</v>
      </c>
    </row>
    <row r="785" spans="1:7" ht="15">
      <c r="A785" s="114" t="s">
        <v>681</v>
      </c>
      <c r="B785" s="112">
        <v>5</v>
      </c>
      <c r="C785" s="115">
        <v>0.004970341349599933</v>
      </c>
      <c r="D785" s="112" t="b">
        <v>1</v>
      </c>
      <c r="E785" s="112" t="b">
        <v>0</v>
      </c>
      <c r="F785" s="112" t="b">
        <v>0</v>
      </c>
      <c r="G785" s="112" t="s">
        <v>3196</v>
      </c>
    </row>
    <row r="786" spans="1:7" ht="15">
      <c r="A786" s="114" t="s">
        <v>2839</v>
      </c>
      <c r="B786" s="112">
        <v>3</v>
      </c>
      <c r="C786" s="115">
        <v>0.01724689877580116</v>
      </c>
      <c r="D786" s="112" t="b">
        <v>0</v>
      </c>
      <c r="E786" s="112" t="b">
        <v>0</v>
      </c>
      <c r="F786" s="112" t="b">
        <v>0</v>
      </c>
      <c r="G786" s="112" t="s">
        <v>3196</v>
      </c>
    </row>
    <row r="787" spans="1:7" ht="15">
      <c r="A787" s="114" t="s">
        <v>2377</v>
      </c>
      <c r="B787" s="112">
        <v>3</v>
      </c>
      <c r="C787" s="115">
        <v>0.011103429476536237</v>
      </c>
      <c r="D787" s="112" t="b">
        <v>0</v>
      </c>
      <c r="E787" s="112" t="b">
        <v>0</v>
      </c>
      <c r="F787" s="112" t="b">
        <v>0</v>
      </c>
      <c r="G787" s="112" t="s">
        <v>3196</v>
      </c>
    </row>
    <row r="788" spans="1:7" ht="15">
      <c r="A788" s="114" t="s">
        <v>2379</v>
      </c>
      <c r="B788" s="112">
        <v>2</v>
      </c>
      <c r="C788" s="115">
        <v>0.007402286317690825</v>
      </c>
      <c r="D788" s="112" t="b">
        <v>0</v>
      </c>
      <c r="E788" s="112" t="b">
        <v>0</v>
      </c>
      <c r="F788" s="112" t="b">
        <v>0</v>
      </c>
      <c r="G788" s="112" t="s">
        <v>3196</v>
      </c>
    </row>
    <row r="789" spans="1:7" ht="15">
      <c r="A789" s="114" t="s">
        <v>2638</v>
      </c>
      <c r="B789" s="112">
        <v>2</v>
      </c>
      <c r="C789" s="115">
        <v>0.007402286317690825</v>
      </c>
      <c r="D789" s="112" t="b">
        <v>0</v>
      </c>
      <c r="E789" s="112" t="b">
        <v>0</v>
      </c>
      <c r="F789" s="112" t="b">
        <v>0</v>
      </c>
      <c r="G789" s="112" t="s">
        <v>3196</v>
      </c>
    </row>
    <row r="790" spans="1:7" ht="15">
      <c r="A790" s="114" t="s">
        <v>2748</v>
      </c>
      <c r="B790" s="112">
        <v>2</v>
      </c>
      <c r="C790" s="115">
        <v>0.007402286317690825</v>
      </c>
      <c r="D790" s="112" t="b">
        <v>1</v>
      </c>
      <c r="E790" s="112" t="b">
        <v>0</v>
      </c>
      <c r="F790" s="112" t="b">
        <v>0</v>
      </c>
      <c r="G790" s="112" t="s">
        <v>3196</v>
      </c>
    </row>
    <row r="791" spans="1:7" ht="15">
      <c r="A791" s="114" t="s">
        <v>2655</v>
      </c>
      <c r="B791" s="112">
        <v>2</v>
      </c>
      <c r="C791" s="115">
        <v>0.011497932517200772</v>
      </c>
      <c r="D791" s="112" t="b">
        <v>0</v>
      </c>
      <c r="E791" s="112" t="b">
        <v>0</v>
      </c>
      <c r="F791" s="112" t="b">
        <v>0</v>
      </c>
      <c r="G791" s="112" t="s">
        <v>3196</v>
      </c>
    </row>
    <row r="792" spans="1:7" ht="15">
      <c r="A792" s="114" t="s">
        <v>356</v>
      </c>
      <c r="B792" s="112">
        <v>2</v>
      </c>
      <c r="C792" s="115">
        <v>0.007402286317690825</v>
      </c>
      <c r="D792" s="112" t="b">
        <v>0</v>
      </c>
      <c r="E792" s="112" t="b">
        <v>0</v>
      </c>
      <c r="F792" s="112" t="b">
        <v>0</v>
      </c>
      <c r="G792" s="112" t="s">
        <v>3196</v>
      </c>
    </row>
    <row r="793" spans="1:7" ht="15">
      <c r="A793" s="114" t="s">
        <v>2786</v>
      </c>
      <c r="B793" s="112">
        <v>2</v>
      </c>
      <c r="C793" s="115">
        <v>0.011497932517200772</v>
      </c>
      <c r="D793" s="112" t="b">
        <v>0</v>
      </c>
      <c r="E793" s="112" t="b">
        <v>0</v>
      </c>
      <c r="F793" s="112" t="b">
        <v>0</v>
      </c>
      <c r="G793" s="112" t="s">
        <v>3196</v>
      </c>
    </row>
    <row r="794" spans="1:7" ht="15">
      <c r="A794" s="114" t="s">
        <v>2750</v>
      </c>
      <c r="B794" s="112">
        <v>2</v>
      </c>
      <c r="C794" s="115">
        <v>0.011497932517200772</v>
      </c>
      <c r="D794" s="112" t="b">
        <v>0</v>
      </c>
      <c r="E794" s="112" t="b">
        <v>1</v>
      </c>
      <c r="F794" s="112" t="b">
        <v>0</v>
      </c>
      <c r="G794" s="112" t="s">
        <v>3196</v>
      </c>
    </row>
    <row r="795" spans="1:7" ht="15">
      <c r="A795" s="114" t="s">
        <v>2881</v>
      </c>
      <c r="B795" s="112">
        <v>2</v>
      </c>
      <c r="C795" s="115">
        <v>0.011497932517200772</v>
      </c>
      <c r="D795" s="112" t="b">
        <v>0</v>
      </c>
      <c r="E795" s="112" t="b">
        <v>0</v>
      </c>
      <c r="F795" s="112" t="b">
        <v>0</v>
      </c>
      <c r="G795" s="112" t="s">
        <v>3196</v>
      </c>
    </row>
    <row r="796" spans="1:7" ht="15">
      <c r="A796" s="114" t="s">
        <v>2792</v>
      </c>
      <c r="B796" s="112">
        <v>2</v>
      </c>
      <c r="C796" s="115">
        <v>0.007402286317690825</v>
      </c>
      <c r="D796" s="112" t="b">
        <v>0</v>
      </c>
      <c r="E796" s="112" t="b">
        <v>0</v>
      </c>
      <c r="F796" s="112" t="b">
        <v>0</v>
      </c>
      <c r="G796" s="112" t="s">
        <v>3196</v>
      </c>
    </row>
    <row r="797" spans="1:7" ht="15">
      <c r="A797" s="114" t="s">
        <v>2826</v>
      </c>
      <c r="B797" s="112">
        <v>2</v>
      </c>
      <c r="C797" s="115">
        <v>0.007402286317690825</v>
      </c>
      <c r="D797" s="112" t="b">
        <v>0</v>
      </c>
      <c r="E797" s="112" t="b">
        <v>0</v>
      </c>
      <c r="F797" s="112" t="b">
        <v>0</v>
      </c>
      <c r="G797" s="112" t="s">
        <v>3196</v>
      </c>
    </row>
    <row r="798" spans="1:7" ht="15">
      <c r="A798" s="114" t="s">
        <v>2725</v>
      </c>
      <c r="B798" s="112">
        <v>2</v>
      </c>
      <c r="C798" s="115">
        <v>0.011497932517200772</v>
      </c>
      <c r="D798" s="112" t="b">
        <v>0</v>
      </c>
      <c r="E798" s="112" t="b">
        <v>0</v>
      </c>
      <c r="F798" s="112" t="b">
        <v>0</v>
      </c>
      <c r="G798" s="112" t="s">
        <v>3196</v>
      </c>
    </row>
    <row r="799" spans="1:7" ht="15">
      <c r="A799" s="114" t="s">
        <v>2681</v>
      </c>
      <c r="B799" s="112">
        <v>2</v>
      </c>
      <c r="C799" s="115">
        <v>0.007402286317690825</v>
      </c>
      <c r="D799" s="112" t="b">
        <v>0</v>
      </c>
      <c r="E799" s="112" t="b">
        <v>0</v>
      </c>
      <c r="F799" s="112" t="b">
        <v>0</v>
      </c>
      <c r="G799" s="112" t="s">
        <v>3196</v>
      </c>
    </row>
    <row r="800" spans="1:7" ht="15">
      <c r="A800" s="114" t="s">
        <v>328</v>
      </c>
      <c r="B800" s="112">
        <v>2</v>
      </c>
      <c r="C800" s="115">
        <v>0.007402286317690825</v>
      </c>
      <c r="D800" s="112" t="b">
        <v>0</v>
      </c>
      <c r="E800" s="112" t="b">
        <v>0</v>
      </c>
      <c r="F800" s="112" t="b">
        <v>0</v>
      </c>
      <c r="G800" s="112" t="s">
        <v>3196</v>
      </c>
    </row>
    <row r="801" spans="1:7" ht="15">
      <c r="A801" s="114" t="s">
        <v>2923</v>
      </c>
      <c r="B801" s="112">
        <v>2</v>
      </c>
      <c r="C801" s="115">
        <v>0.011497932517200772</v>
      </c>
      <c r="D801" s="112" t="b">
        <v>0</v>
      </c>
      <c r="E801" s="112" t="b">
        <v>0</v>
      </c>
      <c r="F801" s="112" t="b">
        <v>0</v>
      </c>
      <c r="G801" s="112" t="s">
        <v>3196</v>
      </c>
    </row>
    <row r="802" spans="1:7" ht="15">
      <c r="A802" s="114" t="s">
        <v>2712</v>
      </c>
      <c r="B802" s="112">
        <v>2</v>
      </c>
      <c r="C802" s="115">
        <v>0</v>
      </c>
      <c r="D802" s="112" t="b">
        <v>0</v>
      </c>
      <c r="E802" s="112" t="b">
        <v>0</v>
      </c>
      <c r="F802" s="112" t="b">
        <v>0</v>
      </c>
      <c r="G802" s="112" t="s">
        <v>3197</v>
      </c>
    </row>
    <row r="803" spans="1:7" ht="15">
      <c r="A803" s="114" t="s">
        <v>2731</v>
      </c>
      <c r="B803" s="112">
        <v>2</v>
      </c>
      <c r="C803" s="115">
        <v>0</v>
      </c>
      <c r="D803" s="112" t="b">
        <v>0</v>
      </c>
      <c r="E803" s="112" t="b">
        <v>0</v>
      </c>
      <c r="F803" s="112" t="b">
        <v>0</v>
      </c>
      <c r="G803" s="112" t="s">
        <v>3197</v>
      </c>
    </row>
    <row r="804" spans="1:7" ht="15">
      <c r="A804" s="114" t="s">
        <v>2680</v>
      </c>
      <c r="B804" s="112">
        <v>7</v>
      </c>
      <c r="C804" s="115">
        <v>0</v>
      </c>
      <c r="D804" s="112" t="b">
        <v>1</v>
      </c>
      <c r="E804" s="112" t="b">
        <v>0</v>
      </c>
      <c r="F804" s="112" t="b">
        <v>0</v>
      </c>
      <c r="G804" s="112" t="s">
        <v>3198</v>
      </c>
    </row>
    <row r="805" spans="1:7" ht="15">
      <c r="A805" s="114" t="s">
        <v>2885</v>
      </c>
      <c r="B805" s="112">
        <v>2</v>
      </c>
      <c r="C805" s="115">
        <v>0</v>
      </c>
      <c r="D805" s="112" t="b">
        <v>0</v>
      </c>
      <c r="E805" s="112" t="b">
        <v>0</v>
      </c>
      <c r="F805" s="112" t="b">
        <v>0</v>
      </c>
      <c r="G805" s="112" t="s">
        <v>3198</v>
      </c>
    </row>
    <row r="806" spans="1:7" ht="15">
      <c r="A806" s="114" t="s">
        <v>2899</v>
      </c>
      <c r="B806" s="112">
        <v>2</v>
      </c>
      <c r="C806" s="115">
        <v>0</v>
      </c>
      <c r="D806" s="112" t="b">
        <v>0</v>
      </c>
      <c r="E806" s="112" t="b">
        <v>0</v>
      </c>
      <c r="F806" s="112" t="b">
        <v>0</v>
      </c>
      <c r="G806" s="112" t="s">
        <v>3198</v>
      </c>
    </row>
    <row r="807" spans="1:7" ht="15">
      <c r="A807" s="114" t="s">
        <v>2373</v>
      </c>
      <c r="B807" s="112">
        <v>2</v>
      </c>
      <c r="C807" s="115">
        <v>0</v>
      </c>
      <c r="D807" s="112" t="b">
        <v>1</v>
      </c>
      <c r="E807" s="112" t="b">
        <v>0</v>
      </c>
      <c r="F807" s="112" t="b">
        <v>0</v>
      </c>
      <c r="G807" s="112" t="s">
        <v>3199</v>
      </c>
    </row>
    <row r="808" spans="1:7" ht="15">
      <c r="A808" s="114" t="s">
        <v>2374</v>
      </c>
      <c r="B808" s="112">
        <v>2</v>
      </c>
      <c r="C808" s="115">
        <v>0</v>
      </c>
      <c r="D808" s="112" t="b">
        <v>1</v>
      </c>
      <c r="E808" s="112" t="b">
        <v>0</v>
      </c>
      <c r="F808" s="112" t="b">
        <v>0</v>
      </c>
      <c r="G808" s="112" t="s">
        <v>3199</v>
      </c>
    </row>
    <row r="809" spans="1:7" ht="15">
      <c r="A809" s="114" t="s">
        <v>681</v>
      </c>
      <c r="B809" s="112">
        <v>2</v>
      </c>
      <c r="C809" s="115">
        <v>0</v>
      </c>
      <c r="D809" s="112" t="b">
        <v>1</v>
      </c>
      <c r="E809" s="112" t="b">
        <v>0</v>
      </c>
      <c r="F809" s="112" t="b">
        <v>0</v>
      </c>
      <c r="G809" s="112" t="s">
        <v>3199</v>
      </c>
    </row>
    <row r="810" spans="1:7" ht="15">
      <c r="A810" s="114" t="s">
        <v>2978</v>
      </c>
      <c r="B810" s="112">
        <v>2</v>
      </c>
      <c r="C810" s="115">
        <v>0</v>
      </c>
      <c r="D810" s="112" t="b">
        <v>0</v>
      </c>
      <c r="E810" s="112" t="b">
        <v>0</v>
      </c>
      <c r="F810" s="112" t="b">
        <v>0</v>
      </c>
      <c r="G810" s="112" t="s">
        <v>3200</v>
      </c>
    </row>
    <row r="811" spans="1:7" ht="15">
      <c r="A811" s="114" t="s">
        <v>2644</v>
      </c>
      <c r="B811" s="112">
        <v>2</v>
      </c>
      <c r="C811" s="115">
        <v>0</v>
      </c>
      <c r="D811" s="112" t="b">
        <v>0</v>
      </c>
      <c r="E811" s="112" t="b">
        <v>0</v>
      </c>
      <c r="F811" s="112" t="b">
        <v>0</v>
      </c>
      <c r="G811" s="112" t="s">
        <v>3200</v>
      </c>
    </row>
    <row r="812" spans="1:7" ht="15">
      <c r="A812" s="114" t="s">
        <v>2880</v>
      </c>
      <c r="B812" s="112">
        <v>2</v>
      </c>
      <c r="C812" s="115">
        <v>0</v>
      </c>
      <c r="D812" s="112" t="b">
        <v>0</v>
      </c>
      <c r="E812" s="112" t="b">
        <v>1</v>
      </c>
      <c r="F812" s="112" t="b">
        <v>0</v>
      </c>
      <c r="G812" s="112" t="s">
        <v>3202</v>
      </c>
    </row>
    <row r="813" spans="1:7" ht="15">
      <c r="A813" s="114" t="s">
        <v>2966</v>
      </c>
      <c r="B813" s="112">
        <v>2</v>
      </c>
      <c r="C813" s="115">
        <v>0</v>
      </c>
      <c r="D813" s="112" t="b">
        <v>0</v>
      </c>
      <c r="E813" s="112" t="b">
        <v>0</v>
      </c>
      <c r="F813" s="112" t="b">
        <v>0</v>
      </c>
      <c r="G813" s="112" t="s">
        <v>3203</v>
      </c>
    </row>
    <row r="814" spans="1:7" ht="15">
      <c r="A814" s="114" t="s">
        <v>681</v>
      </c>
      <c r="B814" s="112">
        <v>2</v>
      </c>
      <c r="C814" s="115">
        <v>0</v>
      </c>
      <c r="D814" s="112" t="b">
        <v>1</v>
      </c>
      <c r="E814" s="112" t="b">
        <v>0</v>
      </c>
      <c r="F814" s="112" t="b">
        <v>0</v>
      </c>
      <c r="G814" s="112" t="s">
        <v>3203</v>
      </c>
    </row>
    <row r="815" spans="1:7" ht="15">
      <c r="A815" s="114" t="s">
        <v>2373</v>
      </c>
      <c r="B815" s="112">
        <v>2</v>
      </c>
      <c r="C815" s="115">
        <v>0</v>
      </c>
      <c r="D815" s="112" t="b">
        <v>1</v>
      </c>
      <c r="E815" s="112" t="b">
        <v>0</v>
      </c>
      <c r="F815" s="112" t="b">
        <v>0</v>
      </c>
      <c r="G815" s="112" t="s">
        <v>3205</v>
      </c>
    </row>
    <row r="816" spans="1:7" ht="15">
      <c r="A816" s="114" t="s">
        <v>2865</v>
      </c>
      <c r="B816" s="112">
        <v>2</v>
      </c>
      <c r="C816" s="115">
        <v>0</v>
      </c>
      <c r="D816" s="112" t="b">
        <v>0</v>
      </c>
      <c r="E816" s="112" t="b">
        <v>0</v>
      </c>
      <c r="F816" s="112" t="b">
        <v>0</v>
      </c>
      <c r="G816" s="112" t="s">
        <v>3209</v>
      </c>
    </row>
    <row r="817" spans="1:7" ht="15">
      <c r="A817" s="114" t="s">
        <v>2656</v>
      </c>
      <c r="B817" s="112">
        <v>2</v>
      </c>
      <c r="C817" s="115">
        <v>0</v>
      </c>
      <c r="D817" s="112" t="b">
        <v>0</v>
      </c>
      <c r="E817" s="112" t="b">
        <v>0</v>
      </c>
      <c r="F817" s="112" t="b">
        <v>0</v>
      </c>
      <c r="G817" s="112" t="s">
        <v>3210</v>
      </c>
    </row>
    <row r="818" spans="1:7" ht="15">
      <c r="A818" s="114" t="s">
        <v>2916</v>
      </c>
      <c r="B818" s="112">
        <v>2</v>
      </c>
      <c r="C818" s="115">
        <v>0</v>
      </c>
      <c r="D818" s="112" t="b">
        <v>1</v>
      </c>
      <c r="E818" s="112" t="b">
        <v>0</v>
      </c>
      <c r="F818" s="112" t="b">
        <v>0</v>
      </c>
      <c r="G818" s="112" t="s">
        <v>3210</v>
      </c>
    </row>
    <row r="819" spans="1:7" ht="15">
      <c r="A819" s="114" t="s">
        <v>3011</v>
      </c>
      <c r="B819" s="112">
        <v>2</v>
      </c>
      <c r="C819" s="115">
        <v>0</v>
      </c>
      <c r="D819" s="112" t="b">
        <v>0</v>
      </c>
      <c r="E819" s="112" t="b">
        <v>0</v>
      </c>
      <c r="F819" s="112" t="b">
        <v>0</v>
      </c>
      <c r="G819" s="112" t="s">
        <v>3210</v>
      </c>
    </row>
    <row r="820" spans="1:7" ht="15">
      <c r="A820" s="114" t="s">
        <v>2710</v>
      </c>
      <c r="B820" s="112">
        <v>2</v>
      </c>
      <c r="C820" s="115">
        <v>0</v>
      </c>
      <c r="D820" s="112" t="b">
        <v>1</v>
      </c>
      <c r="E820" s="112" t="b">
        <v>0</v>
      </c>
      <c r="F820" s="112" t="b">
        <v>0</v>
      </c>
      <c r="G820" s="112" t="s">
        <v>3210</v>
      </c>
    </row>
    <row r="821" spans="1:7" ht="15">
      <c r="A821" s="114" t="s">
        <v>2866</v>
      </c>
      <c r="B821" s="112">
        <v>2</v>
      </c>
      <c r="C821" s="115">
        <v>0</v>
      </c>
      <c r="D821" s="112" t="b">
        <v>0</v>
      </c>
      <c r="E821" s="112" t="b">
        <v>0</v>
      </c>
      <c r="F821" s="112" t="b">
        <v>0</v>
      </c>
      <c r="G821" s="112" t="s">
        <v>3212</v>
      </c>
    </row>
    <row r="822" spans="1:7" ht="15">
      <c r="A822" s="114" t="s">
        <v>2641</v>
      </c>
      <c r="B822" s="112">
        <v>2</v>
      </c>
      <c r="C822" s="115">
        <v>0</v>
      </c>
      <c r="D822" s="112" t="b">
        <v>0</v>
      </c>
      <c r="E822" s="112" t="b">
        <v>0</v>
      </c>
      <c r="F822" s="112" t="b">
        <v>0</v>
      </c>
      <c r="G822" s="112" t="s">
        <v>3212</v>
      </c>
    </row>
    <row r="823" spans="1:7" ht="15">
      <c r="A823" s="114" t="s">
        <v>2956</v>
      </c>
      <c r="B823" s="112">
        <v>2</v>
      </c>
      <c r="C823" s="115">
        <v>0</v>
      </c>
      <c r="D823" s="112" t="b">
        <v>0</v>
      </c>
      <c r="E823" s="112" t="b">
        <v>0</v>
      </c>
      <c r="F823" s="112" t="b">
        <v>0</v>
      </c>
      <c r="G823" s="112" t="s">
        <v>3212</v>
      </c>
    </row>
    <row r="824" spans="1:7" ht="15">
      <c r="A824" s="114" t="s">
        <v>2374</v>
      </c>
      <c r="B824" s="112">
        <v>2</v>
      </c>
      <c r="C824" s="115">
        <v>0</v>
      </c>
      <c r="D824" s="112" t="b">
        <v>1</v>
      </c>
      <c r="E824" s="112" t="b">
        <v>0</v>
      </c>
      <c r="F824" s="112" t="b">
        <v>0</v>
      </c>
      <c r="G824" s="112" t="s">
        <v>3212</v>
      </c>
    </row>
    <row r="825" spans="1:7" ht="15">
      <c r="A825" s="114" t="s">
        <v>681</v>
      </c>
      <c r="B825" s="112">
        <v>2</v>
      </c>
      <c r="C825" s="115">
        <v>0</v>
      </c>
      <c r="D825" s="112" t="b">
        <v>1</v>
      </c>
      <c r="E825" s="112" t="b">
        <v>0</v>
      </c>
      <c r="F825" s="112" t="b">
        <v>0</v>
      </c>
      <c r="G825" s="112" t="s">
        <v>3212</v>
      </c>
    </row>
    <row r="826" spans="1:7" ht="15">
      <c r="A826" s="114" t="s">
        <v>2683</v>
      </c>
      <c r="B826" s="112">
        <v>2</v>
      </c>
      <c r="C826" s="115">
        <v>0</v>
      </c>
      <c r="D826" s="112" t="b">
        <v>0</v>
      </c>
      <c r="E826" s="112" t="b">
        <v>0</v>
      </c>
      <c r="F826" s="112" t="b">
        <v>0</v>
      </c>
      <c r="G826" s="112" t="s">
        <v>3213</v>
      </c>
    </row>
    <row r="827" spans="1:7" ht="15">
      <c r="A827" s="114" t="s">
        <v>681</v>
      </c>
      <c r="B827" s="112">
        <v>3</v>
      </c>
      <c r="C827" s="115">
        <v>0</v>
      </c>
      <c r="D827" s="112" t="b">
        <v>1</v>
      </c>
      <c r="E827" s="112" t="b">
        <v>0</v>
      </c>
      <c r="F827" s="112" t="b">
        <v>0</v>
      </c>
      <c r="G827" s="112" t="s">
        <v>3214</v>
      </c>
    </row>
    <row r="828" spans="1:7" ht="15">
      <c r="A828" s="114" t="s">
        <v>2374</v>
      </c>
      <c r="B828" s="112">
        <v>2</v>
      </c>
      <c r="C828" s="115">
        <v>0</v>
      </c>
      <c r="D828" s="112" t="b">
        <v>1</v>
      </c>
      <c r="E828" s="112" t="b">
        <v>0</v>
      </c>
      <c r="F828" s="112" t="b">
        <v>0</v>
      </c>
      <c r="G828" s="112" t="s">
        <v>3214</v>
      </c>
    </row>
    <row r="829" spans="1:7" ht="15">
      <c r="A829" s="114" t="s">
        <v>2373</v>
      </c>
      <c r="B829" s="112">
        <v>2</v>
      </c>
      <c r="C829" s="115">
        <v>0</v>
      </c>
      <c r="D829" s="112" t="b">
        <v>1</v>
      </c>
      <c r="E829" s="112" t="b">
        <v>0</v>
      </c>
      <c r="F829" s="112" t="b">
        <v>0</v>
      </c>
      <c r="G829" s="112" t="s">
        <v>3214</v>
      </c>
    </row>
    <row r="830" spans="1:7" ht="15">
      <c r="A830" s="114" t="s">
        <v>2377</v>
      </c>
      <c r="B830" s="112">
        <v>2</v>
      </c>
      <c r="C830" s="115">
        <v>0.011805097869175734</v>
      </c>
      <c r="D830" s="112" t="b">
        <v>0</v>
      </c>
      <c r="E830" s="112" t="b">
        <v>0</v>
      </c>
      <c r="F830" s="112" t="b">
        <v>0</v>
      </c>
      <c r="G830" s="112" t="s">
        <v>3493</v>
      </c>
    </row>
    <row r="831" spans="1:7" ht="15">
      <c r="A831" s="114" t="s">
        <v>2838</v>
      </c>
      <c r="B831" s="112">
        <v>2</v>
      </c>
      <c r="C831" s="115">
        <v>0.011805097869175734</v>
      </c>
      <c r="D831" s="112" t="b">
        <v>0</v>
      </c>
      <c r="E831" s="112" t="b">
        <v>0</v>
      </c>
      <c r="F831" s="112" t="b">
        <v>0</v>
      </c>
      <c r="G831" s="112" t="s">
        <v>3493</v>
      </c>
    </row>
    <row r="832" spans="1:7" ht="15">
      <c r="A832" s="114" t="s">
        <v>2702</v>
      </c>
      <c r="B832" s="112">
        <v>4</v>
      </c>
      <c r="C832" s="115">
        <v>0</v>
      </c>
      <c r="D832" s="112" t="b">
        <v>0</v>
      </c>
      <c r="E832" s="112" t="b">
        <v>1</v>
      </c>
      <c r="F832" s="112" t="b">
        <v>0</v>
      </c>
      <c r="G832" s="112" t="s">
        <v>3494</v>
      </c>
    </row>
    <row r="833" spans="1:7" ht="15">
      <c r="A833" s="114" t="s">
        <v>2374</v>
      </c>
      <c r="B833" s="112">
        <v>2</v>
      </c>
      <c r="C833" s="115">
        <v>0</v>
      </c>
      <c r="D833" s="112" t="b">
        <v>1</v>
      </c>
      <c r="E833" s="112" t="b">
        <v>0</v>
      </c>
      <c r="F833" s="112" t="b">
        <v>0</v>
      </c>
      <c r="G833" s="112" t="s">
        <v>3494</v>
      </c>
    </row>
    <row r="834" spans="1:7" ht="15">
      <c r="A834" s="114" t="s">
        <v>2373</v>
      </c>
      <c r="B834" s="112">
        <v>2</v>
      </c>
      <c r="C834" s="115">
        <v>0</v>
      </c>
      <c r="D834" s="112" t="b">
        <v>1</v>
      </c>
      <c r="E834" s="112" t="b">
        <v>0</v>
      </c>
      <c r="F834" s="112" t="b">
        <v>0</v>
      </c>
      <c r="G834" s="112" t="s">
        <v>3494</v>
      </c>
    </row>
    <row r="835" spans="1:7" ht="15">
      <c r="A835" s="114" t="s">
        <v>681</v>
      </c>
      <c r="B835" s="112">
        <v>2</v>
      </c>
      <c r="C835" s="115">
        <v>0</v>
      </c>
      <c r="D835" s="112" t="b">
        <v>1</v>
      </c>
      <c r="E835" s="112" t="b">
        <v>0</v>
      </c>
      <c r="F835" s="112" t="b">
        <v>0</v>
      </c>
      <c r="G835" s="112" t="s">
        <v>3494</v>
      </c>
    </row>
    <row r="836" spans="1:7" ht="15">
      <c r="A836" s="114" t="s">
        <v>2377</v>
      </c>
      <c r="B836" s="112">
        <v>3</v>
      </c>
      <c r="C836" s="115">
        <v>0.017367115134460456</v>
      </c>
      <c r="D836" s="112" t="b">
        <v>0</v>
      </c>
      <c r="E836" s="112" t="b">
        <v>0</v>
      </c>
      <c r="F836" s="112" t="b">
        <v>0</v>
      </c>
      <c r="G836" s="112" t="s">
        <v>3495</v>
      </c>
    </row>
    <row r="837" spans="1:7" ht="15">
      <c r="A837" s="114" t="s">
        <v>2376</v>
      </c>
      <c r="B837" s="112">
        <v>3</v>
      </c>
      <c r="C837" s="115">
        <v>0</v>
      </c>
      <c r="D837" s="112" t="b">
        <v>0</v>
      </c>
      <c r="E837" s="112" t="b">
        <v>0</v>
      </c>
      <c r="F837" s="112" t="b">
        <v>0</v>
      </c>
      <c r="G837" s="112" t="s">
        <v>3495</v>
      </c>
    </row>
    <row r="838" spans="1:7" ht="15">
      <c r="A838" s="114" t="s">
        <v>2970</v>
      </c>
      <c r="B838" s="112">
        <v>2</v>
      </c>
      <c r="C838" s="115">
        <v>0.01157807675630697</v>
      </c>
      <c r="D838" s="112" t="b">
        <v>0</v>
      </c>
      <c r="E838" s="112" t="b">
        <v>0</v>
      </c>
      <c r="F838" s="112" t="b">
        <v>0</v>
      </c>
      <c r="G838" s="112" t="s">
        <v>3495</v>
      </c>
    </row>
    <row r="839" spans="1:7" ht="15">
      <c r="A839" s="114" t="s">
        <v>2717</v>
      </c>
      <c r="B839" s="112">
        <v>2</v>
      </c>
      <c r="C839" s="115">
        <v>0</v>
      </c>
      <c r="D839" s="112" t="b">
        <v>0</v>
      </c>
      <c r="E839" s="112" t="b">
        <v>0</v>
      </c>
      <c r="F839" s="112" t="b">
        <v>0</v>
      </c>
      <c r="G839" s="112" t="s">
        <v>3495</v>
      </c>
    </row>
    <row r="840" spans="1:7" ht="15">
      <c r="A840" s="114" t="s">
        <v>2379</v>
      </c>
      <c r="B840" s="112">
        <v>2</v>
      </c>
      <c r="C840" s="115">
        <v>0</v>
      </c>
      <c r="D840" s="112" t="b">
        <v>0</v>
      </c>
      <c r="E840" s="112" t="b">
        <v>0</v>
      </c>
      <c r="F840" s="112" t="b">
        <v>0</v>
      </c>
      <c r="G840" s="112" t="s">
        <v>3495</v>
      </c>
    </row>
    <row r="841" spans="1:7" ht="15">
      <c r="A841" s="114" t="s">
        <v>2953</v>
      </c>
      <c r="B841" s="112">
        <v>2</v>
      </c>
      <c r="C841" s="115">
        <v>0.01157807675630697</v>
      </c>
      <c r="D841" s="112" t="b">
        <v>0</v>
      </c>
      <c r="E841" s="112" t="b">
        <v>0</v>
      </c>
      <c r="F841" s="112" t="b">
        <v>0</v>
      </c>
      <c r="G841" s="112" t="s">
        <v>3495</v>
      </c>
    </row>
    <row r="842" spans="1:7" ht="15">
      <c r="A842" s="114" t="s">
        <v>2373</v>
      </c>
      <c r="B842" s="112">
        <v>4</v>
      </c>
      <c r="C842" s="115">
        <v>0</v>
      </c>
      <c r="D842" s="112" t="b">
        <v>1</v>
      </c>
      <c r="E842" s="112" t="b">
        <v>0</v>
      </c>
      <c r="F842" s="112" t="b">
        <v>0</v>
      </c>
      <c r="G842" s="112" t="s">
        <v>3496</v>
      </c>
    </row>
    <row r="843" spans="1:7" ht="15">
      <c r="A843" s="114" t="s">
        <v>2636</v>
      </c>
      <c r="B843" s="112">
        <v>3</v>
      </c>
      <c r="C843" s="115">
        <v>0.021049467119985107</v>
      </c>
      <c r="D843" s="112" t="b">
        <v>0</v>
      </c>
      <c r="E843" s="112" t="b">
        <v>0</v>
      </c>
      <c r="F843" s="112" t="b">
        <v>0</v>
      </c>
      <c r="G843" s="112" t="s">
        <v>3496</v>
      </c>
    </row>
    <row r="844" spans="1:7" ht="15">
      <c r="A844" s="114" t="s">
        <v>2642</v>
      </c>
      <c r="B844" s="112">
        <v>3</v>
      </c>
      <c r="C844" s="115">
        <v>0.021049467119985107</v>
      </c>
      <c r="D844" s="112" t="b">
        <v>0</v>
      </c>
      <c r="E844" s="112" t="b">
        <v>0</v>
      </c>
      <c r="F844" s="112" t="b">
        <v>0</v>
      </c>
      <c r="G844" s="112" t="s">
        <v>3496</v>
      </c>
    </row>
    <row r="845" spans="1:7" ht="15">
      <c r="A845" s="114" t="s">
        <v>2374</v>
      </c>
      <c r="B845" s="112">
        <v>3</v>
      </c>
      <c r="C845" s="115">
        <v>0</v>
      </c>
      <c r="D845" s="112" t="b">
        <v>1</v>
      </c>
      <c r="E845" s="112" t="b">
        <v>0</v>
      </c>
      <c r="F845" s="112" t="b">
        <v>0</v>
      </c>
      <c r="G845" s="112" t="s">
        <v>3496</v>
      </c>
    </row>
    <row r="846" spans="1:7" ht="15">
      <c r="A846" s="114" t="s">
        <v>2764</v>
      </c>
      <c r="B846" s="112">
        <v>2</v>
      </c>
      <c r="C846" s="115">
        <v>0.014032978079990072</v>
      </c>
      <c r="D846" s="112" t="b">
        <v>0</v>
      </c>
      <c r="E846" s="112" t="b">
        <v>0</v>
      </c>
      <c r="F846" s="112" t="b">
        <v>0</v>
      </c>
      <c r="G846" s="112" t="s">
        <v>3496</v>
      </c>
    </row>
    <row r="847" spans="1:7" ht="15">
      <c r="A847" s="114" t="s">
        <v>2380</v>
      </c>
      <c r="B847" s="112">
        <v>2</v>
      </c>
      <c r="C847" s="115">
        <v>0.014032978079990072</v>
      </c>
      <c r="D847" s="112" t="b">
        <v>0</v>
      </c>
      <c r="E847" s="112" t="b">
        <v>0</v>
      </c>
      <c r="F847" s="112" t="b">
        <v>0</v>
      </c>
      <c r="G847" s="112" t="s">
        <v>3496</v>
      </c>
    </row>
    <row r="848" spans="1:7" ht="15">
      <c r="A848" s="114" t="s">
        <v>681</v>
      </c>
      <c r="B848" s="112">
        <v>2</v>
      </c>
      <c r="C848" s="115">
        <v>0.005179154678108272</v>
      </c>
      <c r="D848" s="112" t="b">
        <v>1</v>
      </c>
      <c r="E848" s="112" t="b">
        <v>0</v>
      </c>
      <c r="F848" s="112" t="b">
        <v>0</v>
      </c>
      <c r="G848" s="112" t="s">
        <v>3496</v>
      </c>
    </row>
    <row r="849" spans="1:7" ht="15">
      <c r="A849" s="114" t="s">
        <v>2379</v>
      </c>
      <c r="B849" s="112">
        <v>2</v>
      </c>
      <c r="C849" s="115">
        <v>0.014032978079990072</v>
      </c>
      <c r="D849" s="112" t="b">
        <v>0</v>
      </c>
      <c r="E849" s="112" t="b">
        <v>0</v>
      </c>
      <c r="F849" s="112" t="b">
        <v>0</v>
      </c>
      <c r="G849" s="112" t="s">
        <v>3496</v>
      </c>
    </row>
    <row r="850" spans="1:7" ht="15">
      <c r="A850" s="114" t="s">
        <v>2972</v>
      </c>
      <c r="B850" s="112">
        <v>2</v>
      </c>
      <c r="C850" s="115">
        <v>0.014032978079990072</v>
      </c>
      <c r="D850" s="112" t="b">
        <v>0</v>
      </c>
      <c r="E850" s="112" t="b">
        <v>0</v>
      </c>
      <c r="F850" s="112" t="b">
        <v>0</v>
      </c>
      <c r="G850" s="112" t="s">
        <v>3496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97D61-C927-4606-9C86-F30BF911D750}">
  <dimension ref="A1:L297"/>
  <sheetViews>
    <sheetView workbookViewId="0" topLeftCell="A1">
      <selection activeCell="D2" sqref="D2"/>
    </sheetView>
  </sheetViews>
  <sheetFormatPr defaultColWidth="9.140625" defaultRowHeight="15"/>
  <cols>
    <col min="1" max="2" width="19.00390625" style="0" bestFit="1" customWidth="1"/>
    <col min="3" max="3" width="8.57421875" style="0" bestFit="1" customWidth="1"/>
    <col min="4" max="4" width="10.7109375" style="0" bestFit="1" customWidth="1"/>
    <col min="5" max="5" width="20.8515625" style="0" bestFit="1" customWidth="1"/>
    <col min="6" max="11" width="33.140625" style="0" bestFit="1" customWidth="1"/>
    <col min="12" max="12" width="8.7109375" style="0" bestFit="1" customWidth="1"/>
  </cols>
  <sheetData>
    <row r="1" spans="1:12" ht="15" customHeight="1">
      <c r="A1" s="7" t="s">
        <v>3037</v>
      </c>
      <c r="B1" s="7" t="s">
        <v>3038</v>
      </c>
      <c r="C1" s="7" t="s">
        <v>3029</v>
      </c>
      <c r="D1" s="7" t="s">
        <v>3033</v>
      </c>
      <c r="E1" s="7" t="s">
        <v>3039</v>
      </c>
      <c r="F1" s="7" t="s">
        <v>3040</v>
      </c>
      <c r="G1" s="7" t="s">
        <v>3041</v>
      </c>
      <c r="H1" s="7" t="s">
        <v>3042</v>
      </c>
      <c r="I1" s="7" t="s">
        <v>3043</v>
      </c>
      <c r="J1" s="7" t="s">
        <v>3044</v>
      </c>
      <c r="K1" s="7" t="s">
        <v>3045</v>
      </c>
      <c r="L1" s="7" t="s">
        <v>143</v>
      </c>
    </row>
    <row r="2" spans="1:12" ht="15">
      <c r="A2" s="116" t="s">
        <v>2373</v>
      </c>
      <c r="B2" s="116" t="s">
        <v>2374</v>
      </c>
      <c r="C2" s="116">
        <v>115</v>
      </c>
      <c r="D2" s="117">
        <v>0.008579961998141154</v>
      </c>
      <c r="E2" s="117">
        <v>1.2973653077221858</v>
      </c>
      <c r="F2" s="116" t="b">
        <v>1</v>
      </c>
      <c r="G2" s="116" t="b">
        <v>0</v>
      </c>
      <c r="H2" s="116" t="b">
        <v>0</v>
      </c>
      <c r="I2" s="116" t="b">
        <v>1</v>
      </c>
      <c r="J2" s="116" t="b">
        <v>0</v>
      </c>
      <c r="K2" s="116" t="b">
        <v>0</v>
      </c>
      <c r="L2" s="116" t="s">
        <v>3521</v>
      </c>
    </row>
    <row r="3" spans="1:12" ht="15">
      <c r="A3" s="114" t="s">
        <v>681</v>
      </c>
      <c r="B3" s="116" t="s">
        <v>2373</v>
      </c>
      <c r="C3" s="112">
        <v>97</v>
      </c>
      <c r="D3" s="115">
        <v>0.009262121876051164</v>
      </c>
      <c r="E3" s="115">
        <v>1.2304293966863067</v>
      </c>
      <c r="F3" s="112" t="b">
        <v>1</v>
      </c>
      <c r="G3" s="112" t="b">
        <v>0</v>
      </c>
      <c r="H3" s="112" t="b">
        <v>0</v>
      </c>
      <c r="I3" s="112" t="b">
        <v>1</v>
      </c>
      <c r="J3" s="112" t="b">
        <v>0</v>
      </c>
      <c r="K3" s="112" t="b">
        <v>0</v>
      </c>
      <c r="L3" s="112" t="s">
        <v>3521</v>
      </c>
    </row>
    <row r="4" spans="1:12" ht="15">
      <c r="A4" s="114" t="s">
        <v>2643</v>
      </c>
      <c r="B4" s="116" t="s">
        <v>2637</v>
      </c>
      <c r="C4" s="112">
        <v>11</v>
      </c>
      <c r="D4" s="115">
        <v>0.004324641432067765</v>
      </c>
      <c r="E4" s="115">
        <v>2.290445379464993</v>
      </c>
      <c r="F4" s="112" t="b">
        <v>0</v>
      </c>
      <c r="G4" s="112" t="b">
        <v>0</v>
      </c>
      <c r="H4" s="112" t="b">
        <v>0</v>
      </c>
      <c r="I4" s="112" t="b">
        <v>0</v>
      </c>
      <c r="J4" s="112" t="b">
        <v>0</v>
      </c>
      <c r="K4" s="112" t="b">
        <v>0</v>
      </c>
      <c r="L4" s="112" t="s">
        <v>3521</v>
      </c>
    </row>
    <row r="5" spans="1:12" ht="15">
      <c r="A5" s="114" t="s">
        <v>2645</v>
      </c>
      <c r="B5" s="116" t="s">
        <v>2374</v>
      </c>
      <c r="C5" s="112">
        <v>10</v>
      </c>
      <c r="D5" s="115">
        <v>0.004061821824189289</v>
      </c>
      <c r="E5" s="115">
        <v>1.159652283077457</v>
      </c>
      <c r="F5" s="112" t="b">
        <v>0</v>
      </c>
      <c r="G5" s="112" t="b">
        <v>0</v>
      </c>
      <c r="H5" s="112" t="b">
        <v>0</v>
      </c>
      <c r="I5" s="112" t="b">
        <v>1</v>
      </c>
      <c r="J5" s="112" t="b">
        <v>0</v>
      </c>
      <c r="K5" s="112" t="b">
        <v>0</v>
      </c>
      <c r="L5" s="112" t="s">
        <v>3521</v>
      </c>
    </row>
    <row r="6" spans="1:12" ht="15">
      <c r="A6" s="114" t="s">
        <v>2373</v>
      </c>
      <c r="B6" s="116" t="s">
        <v>2645</v>
      </c>
      <c r="C6" s="112">
        <v>10</v>
      </c>
      <c r="D6" s="115">
        <v>0.004061821824189289</v>
      </c>
      <c r="E6" s="115">
        <v>1.1431371950118983</v>
      </c>
      <c r="F6" s="112" t="b">
        <v>1</v>
      </c>
      <c r="G6" s="112" t="b">
        <v>0</v>
      </c>
      <c r="H6" s="112" t="b">
        <v>0</v>
      </c>
      <c r="I6" s="112" t="b">
        <v>0</v>
      </c>
      <c r="J6" s="112" t="b">
        <v>0</v>
      </c>
      <c r="K6" s="112" t="b">
        <v>0</v>
      </c>
      <c r="L6" s="112" t="s">
        <v>3521</v>
      </c>
    </row>
    <row r="7" spans="1:12" ht="15">
      <c r="A7" s="114" t="s">
        <v>2380</v>
      </c>
      <c r="B7" s="116" t="s">
        <v>2373</v>
      </c>
      <c r="C7" s="112">
        <v>9</v>
      </c>
      <c r="D7" s="115">
        <v>0.003930258696264222</v>
      </c>
      <c r="E7" s="115">
        <v>0.9180594752653436</v>
      </c>
      <c r="F7" s="112" t="b">
        <v>0</v>
      </c>
      <c r="G7" s="112" t="b">
        <v>0</v>
      </c>
      <c r="H7" s="112" t="b">
        <v>0</v>
      </c>
      <c r="I7" s="112" t="b">
        <v>1</v>
      </c>
      <c r="J7" s="112" t="b">
        <v>0</v>
      </c>
      <c r="K7" s="112" t="b">
        <v>0</v>
      </c>
      <c r="L7" s="112" t="s">
        <v>3521</v>
      </c>
    </row>
    <row r="8" spans="1:12" ht="15">
      <c r="A8" s="114" t="s">
        <v>2690</v>
      </c>
      <c r="B8" s="116" t="s">
        <v>2685</v>
      </c>
      <c r="C8" s="112">
        <v>7</v>
      </c>
      <c r="D8" s="115">
        <v>0.0031846838789161926</v>
      </c>
      <c r="E8" s="115">
        <v>2.629263936018374</v>
      </c>
      <c r="F8" s="112" t="b">
        <v>0</v>
      </c>
      <c r="G8" s="112" t="b">
        <v>0</v>
      </c>
      <c r="H8" s="112" t="b">
        <v>0</v>
      </c>
      <c r="I8" s="112" t="b">
        <v>0</v>
      </c>
      <c r="J8" s="112" t="b">
        <v>0</v>
      </c>
      <c r="K8" s="112" t="b">
        <v>0</v>
      </c>
      <c r="L8" s="112" t="s">
        <v>3521</v>
      </c>
    </row>
    <row r="9" spans="1:12" ht="15">
      <c r="A9" s="114" t="s">
        <v>2688</v>
      </c>
      <c r="B9" s="116" t="s">
        <v>2671</v>
      </c>
      <c r="C9" s="112">
        <v>7</v>
      </c>
      <c r="D9" s="115">
        <v>0.0031846838789161926</v>
      </c>
      <c r="E9" s="115">
        <v>2.520119466593306</v>
      </c>
      <c r="F9" s="112" t="b">
        <v>1</v>
      </c>
      <c r="G9" s="112" t="b">
        <v>0</v>
      </c>
      <c r="H9" s="112" t="b">
        <v>0</v>
      </c>
      <c r="I9" s="112" t="b">
        <v>1</v>
      </c>
      <c r="J9" s="112" t="b">
        <v>0</v>
      </c>
      <c r="K9" s="112" t="b">
        <v>0</v>
      </c>
      <c r="L9" s="112" t="s">
        <v>3521</v>
      </c>
    </row>
    <row r="10" spans="1:12" ht="15">
      <c r="A10" s="114" t="s">
        <v>2652</v>
      </c>
      <c r="B10" s="116" t="s">
        <v>2642</v>
      </c>
      <c r="C10" s="112">
        <v>6</v>
      </c>
      <c r="D10" s="115">
        <v>0.002856202823007949</v>
      </c>
      <c r="E10" s="115">
        <v>2.0971771889512127</v>
      </c>
      <c r="F10" s="112" t="b">
        <v>0</v>
      </c>
      <c r="G10" s="112" t="b">
        <v>0</v>
      </c>
      <c r="H10" s="112" t="b">
        <v>0</v>
      </c>
      <c r="I10" s="112" t="b">
        <v>0</v>
      </c>
      <c r="J10" s="112" t="b">
        <v>0</v>
      </c>
      <c r="K10" s="112" t="b">
        <v>0</v>
      </c>
      <c r="L10" s="112" t="s">
        <v>3521</v>
      </c>
    </row>
    <row r="11" spans="1:12" ht="15">
      <c r="A11" s="114" t="s">
        <v>2671</v>
      </c>
      <c r="B11" s="116" t="s">
        <v>2376</v>
      </c>
      <c r="C11" s="112">
        <v>5</v>
      </c>
      <c r="D11" s="115">
        <v>0.002504824633228116</v>
      </c>
      <c r="E11" s="115">
        <v>1.5378482335537373</v>
      </c>
      <c r="F11" s="112" t="b">
        <v>1</v>
      </c>
      <c r="G11" s="112" t="b">
        <v>0</v>
      </c>
      <c r="H11" s="112" t="b">
        <v>0</v>
      </c>
      <c r="I11" s="112" t="b">
        <v>0</v>
      </c>
      <c r="J11" s="112" t="b">
        <v>0</v>
      </c>
      <c r="K11" s="112" t="b">
        <v>0</v>
      </c>
      <c r="L11" s="112" t="s">
        <v>3521</v>
      </c>
    </row>
    <row r="12" spans="1:12" ht="15">
      <c r="A12" s="114" t="s">
        <v>2380</v>
      </c>
      <c r="B12" s="116" t="s">
        <v>2650</v>
      </c>
      <c r="C12" s="112">
        <v>5</v>
      </c>
      <c r="D12" s="115">
        <v>0.002504824633228116</v>
      </c>
      <c r="E12" s="115">
        <v>1.7517280534988187</v>
      </c>
      <c r="F12" s="112" t="b">
        <v>0</v>
      </c>
      <c r="G12" s="112" t="b">
        <v>0</v>
      </c>
      <c r="H12" s="112" t="b">
        <v>0</v>
      </c>
      <c r="I12" s="112" t="b">
        <v>0</v>
      </c>
      <c r="J12" s="112" t="b">
        <v>0</v>
      </c>
      <c r="K12" s="112" t="b">
        <v>0</v>
      </c>
      <c r="L12" s="112" t="s">
        <v>3521</v>
      </c>
    </row>
    <row r="13" spans="1:12" ht="15">
      <c r="A13" s="114" t="s">
        <v>2374</v>
      </c>
      <c r="B13" s="116" t="s">
        <v>2376</v>
      </c>
      <c r="C13" s="112">
        <v>5</v>
      </c>
      <c r="D13" s="115">
        <v>0.002504824633228116</v>
      </c>
      <c r="E13" s="115">
        <v>0.5896798718266058</v>
      </c>
      <c r="F13" s="112" t="b">
        <v>1</v>
      </c>
      <c r="G13" s="112" t="b">
        <v>0</v>
      </c>
      <c r="H13" s="112" t="b">
        <v>0</v>
      </c>
      <c r="I13" s="112" t="b">
        <v>0</v>
      </c>
      <c r="J13" s="112" t="b">
        <v>0</v>
      </c>
      <c r="K13" s="112" t="b">
        <v>0</v>
      </c>
      <c r="L13" s="112" t="s">
        <v>3521</v>
      </c>
    </row>
    <row r="14" spans="1:12" ht="15">
      <c r="A14" s="114" t="s">
        <v>2645</v>
      </c>
      <c r="B14" s="116" t="s">
        <v>2373</v>
      </c>
      <c r="C14" s="112">
        <v>5</v>
      </c>
      <c r="D14" s="115">
        <v>0.002504824633228116</v>
      </c>
      <c r="E14" s="115">
        <v>0.8388782292177187</v>
      </c>
      <c r="F14" s="112" t="b">
        <v>0</v>
      </c>
      <c r="G14" s="112" t="b">
        <v>0</v>
      </c>
      <c r="H14" s="112" t="b">
        <v>0</v>
      </c>
      <c r="I14" s="112" t="b">
        <v>1</v>
      </c>
      <c r="J14" s="112" t="b">
        <v>0</v>
      </c>
      <c r="K14" s="112" t="b">
        <v>0</v>
      </c>
      <c r="L14" s="112" t="s">
        <v>3521</v>
      </c>
    </row>
    <row r="15" spans="1:12" ht="15">
      <c r="A15" s="114" t="s">
        <v>681</v>
      </c>
      <c r="B15" s="116" t="s">
        <v>2380</v>
      </c>
      <c r="C15" s="112">
        <v>4</v>
      </c>
      <c r="D15" s="115">
        <v>0.002125912619690876</v>
      </c>
      <c r="E15" s="115">
        <v>0.5958401805314242</v>
      </c>
      <c r="F15" s="112" t="b">
        <v>1</v>
      </c>
      <c r="G15" s="112" t="b">
        <v>0</v>
      </c>
      <c r="H15" s="112" t="b">
        <v>0</v>
      </c>
      <c r="I15" s="112" t="b">
        <v>0</v>
      </c>
      <c r="J15" s="112" t="b">
        <v>0</v>
      </c>
      <c r="K15" s="112" t="b">
        <v>0</v>
      </c>
      <c r="L15" s="112" t="s">
        <v>3521</v>
      </c>
    </row>
    <row r="16" spans="1:12" ht="15">
      <c r="A16" s="114" t="s">
        <v>2376</v>
      </c>
      <c r="B16" s="116" t="s">
        <v>2688</v>
      </c>
      <c r="C16" s="112">
        <v>4</v>
      </c>
      <c r="D16" s="115">
        <v>0.002125912619690876</v>
      </c>
      <c r="E16" s="115">
        <v>1.5070480577455472</v>
      </c>
      <c r="F16" s="112" t="b">
        <v>0</v>
      </c>
      <c r="G16" s="112" t="b">
        <v>0</v>
      </c>
      <c r="H16" s="112" t="b">
        <v>0</v>
      </c>
      <c r="I16" s="112" t="b">
        <v>1</v>
      </c>
      <c r="J16" s="112" t="b">
        <v>0</v>
      </c>
      <c r="K16" s="112" t="b">
        <v>0</v>
      </c>
      <c r="L16" s="112" t="s">
        <v>3521</v>
      </c>
    </row>
    <row r="17" spans="1:12" ht="15">
      <c r="A17" s="114" t="s">
        <v>318</v>
      </c>
      <c r="B17" s="116" t="s">
        <v>2375</v>
      </c>
      <c r="C17" s="112">
        <v>4</v>
      </c>
      <c r="D17" s="115">
        <v>0.002125912619690876</v>
      </c>
      <c r="E17" s="115">
        <v>1.3629314242666508</v>
      </c>
      <c r="F17" s="112" t="b">
        <v>0</v>
      </c>
      <c r="G17" s="112" t="b">
        <v>0</v>
      </c>
      <c r="H17" s="112" t="b">
        <v>0</v>
      </c>
      <c r="I17" s="112" t="b">
        <v>1</v>
      </c>
      <c r="J17" s="112" t="b">
        <v>0</v>
      </c>
      <c r="K17" s="112" t="b">
        <v>0</v>
      </c>
      <c r="L17" s="112" t="s">
        <v>3521</v>
      </c>
    </row>
    <row r="18" spans="1:12" ht="15">
      <c r="A18" s="114" t="s">
        <v>2374</v>
      </c>
      <c r="B18" s="116" t="s">
        <v>2646</v>
      </c>
      <c r="C18" s="112">
        <v>4</v>
      </c>
      <c r="D18" s="115">
        <v>0.002125912619690876</v>
      </c>
      <c r="E18" s="115">
        <v>1.1459823725938931</v>
      </c>
      <c r="F18" s="112" t="b">
        <v>1</v>
      </c>
      <c r="G18" s="112" t="b">
        <v>0</v>
      </c>
      <c r="H18" s="112" t="b">
        <v>0</v>
      </c>
      <c r="I18" s="112" t="b">
        <v>0</v>
      </c>
      <c r="J18" s="112" t="b">
        <v>0</v>
      </c>
      <c r="K18" s="112" t="b">
        <v>0</v>
      </c>
      <c r="L18" s="112" t="s">
        <v>3521</v>
      </c>
    </row>
    <row r="19" spans="1:12" ht="15">
      <c r="A19" s="114" t="s">
        <v>2380</v>
      </c>
      <c r="B19" s="116" t="s">
        <v>2667</v>
      </c>
      <c r="C19" s="112">
        <v>4</v>
      </c>
      <c r="D19" s="115">
        <v>0.0022832661922454096</v>
      </c>
      <c r="E19" s="115">
        <v>1.8511126856347304</v>
      </c>
      <c r="F19" s="112" t="b">
        <v>0</v>
      </c>
      <c r="G19" s="112" t="b">
        <v>0</v>
      </c>
      <c r="H19" s="112" t="b">
        <v>0</v>
      </c>
      <c r="I19" s="112" t="b">
        <v>0</v>
      </c>
      <c r="J19" s="112" t="b">
        <v>0</v>
      </c>
      <c r="K19" s="112" t="b">
        <v>0</v>
      </c>
      <c r="L19" s="112" t="s">
        <v>3521</v>
      </c>
    </row>
    <row r="20" spans="1:12" ht="15">
      <c r="A20" s="114" t="s">
        <v>2677</v>
      </c>
      <c r="B20" s="116" t="s">
        <v>2379</v>
      </c>
      <c r="C20" s="112">
        <v>4</v>
      </c>
      <c r="D20" s="115">
        <v>0.002125912619690876</v>
      </c>
      <c r="E20" s="115">
        <v>1.900330708304912</v>
      </c>
      <c r="F20" s="112" t="b">
        <v>0</v>
      </c>
      <c r="G20" s="112" t="b">
        <v>0</v>
      </c>
      <c r="H20" s="112" t="b">
        <v>0</v>
      </c>
      <c r="I20" s="112" t="b">
        <v>0</v>
      </c>
      <c r="J20" s="112" t="b">
        <v>0</v>
      </c>
      <c r="K20" s="112" t="b">
        <v>0</v>
      </c>
      <c r="L20" s="112" t="s">
        <v>3521</v>
      </c>
    </row>
    <row r="21" spans="1:12" ht="15">
      <c r="A21" s="114" t="s">
        <v>2781</v>
      </c>
      <c r="B21" s="116" t="s">
        <v>681</v>
      </c>
      <c r="C21" s="112">
        <v>3</v>
      </c>
      <c r="D21" s="115">
        <v>0.0017124496441840574</v>
      </c>
      <c r="E21" s="115">
        <v>1.3365860147191586</v>
      </c>
      <c r="F21" s="112" t="b">
        <v>0</v>
      </c>
      <c r="G21" s="112" t="b">
        <v>0</v>
      </c>
      <c r="H21" s="112" t="b">
        <v>0</v>
      </c>
      <c r="I21" s="112" t="b">
        <v>1</v>
      </c>
      <c r="J21" s="112" t="b">
        <v>0</v>
      </c>
      <c r="K21" s="112" t="b">
        <v>0</v>
      </c>
      <c r="L21" s="112" t="s">
        <v>3521</v>
      </c>
    </row>
    <row r="22" spans="1:12" ht="15">
      <c r="A22" s="114" t="s">
        <v>2637</v>
      </c>
      <c r="B22" s="116" t="s">
        <v>2373</v>
      </c>
      <c r="C22" s="112">
        <v>3</v>
      </c>
      <c r="D22" s="115">
        <v>0.0017124496441840574</v>
      </c>
      <c r="E22" s="115">
        <v>0.675021426579049</v>
      </c>
      <c r="F22" s="112" t="b">
        <v>0</v>
      </c>
      <c r="G22" s="112" t="b">
        <v>0</v>
      </c>
      <c r="H22" s="112" t="b">
        <v>0</v>
      </c>
      <c r="I22" s="112" t="b">
        <v>1</v>
      </c>
      <c r="J22" s="112" t="b">
        <v>0</v>
      </c>
      <c r="K22" s="112" t="b">
        <v>0</v>
      </c>
      <c r="L22" s="112" t="s">
        <v>3521</v>
      </c>
    </row>
    <row r="23" spans="1:12" ht="15">
      <c r="A23" s="114" t="s">
        <v>2642</v>
      </c>
      <c r="B23" s="116" t="s">
        <v>2690</v>
      </c>
      <c r="C23" s="112">
        <v>3</v>
      </c>
      <c r="D23" s="115">
        <v>0.0017124496441840574</v>
      </c>
      <c r="E23" s="115">
        <v>2.059388628061813</v>
      </c>
      <c r="F23" s="112" t="b">
        <v>0</v>
      </c>
      <c r="G23" s="112" t="b">
        <v>0</v>
      </c>
      <c r="H23" s="112" t="b">
        <v>0</v>
      </c>
      <c r="I23" s="112" t="b">
        <v>0</v>
      </c>
      <c r="J23" s="112" t="b">
        <v>0</v>
      </c>
      <c r="K23" s="112" t="b">
        <v>0</v>
      </c>
      <c r="L23" s="112" t="s">
        <v>3521</v>
      </c>
    </row>
    <row r="24" spans="1:12" ht="15">
      <c r="A24" s="114" t="s">
        <v>2639</v>
      </c>
      <c r="B24" s="116" t="s">
        <v>2660</v>
      </c>
      <c r="C24" s="112">
        <v>3</v>
      </c>
      <c r="D24" s="115">
        <v>0.0017124496441840574</v>
      </c>
      <c r="E24" s="115">
        <v>1.775391971696612</v>
      </c>
      <c r="F24" s="112" t="b">
        <v>0</v>
      </c>
      <c r="G24" s="112" t="b">
        <v>0</v>
      </c>
      <c r="H24" s="112" t="b">
        <v>0</v>
      </c>
      <c r="I24" s="112" t="b">
        <v>0</v>
      </c>
      <c r="J24" s="112" t="b">
        <v>0</v>
      </c>
      <c r="K24" s="112" t="b">
        <v>0</v>
      </c>
      <c r="L24" s="112" t="s">
        <v>3521</v>
      </c>
    </row>
    <row r="25" spans="1:12" ht="15">
      <c r="A25" s="114" t="s">
        <v>2373</v>
      </c>
      <c r="B25" s="116" t="s">
        <v>2373</v>
      </c>
      <c r="C25" s="112">
        <v>3</v>
      </c>
      <c r="D25" s="115">
        <v>0.00187878269744824</v>
      </c>
      <c r="E25" s="115">
        <v>-0.30595533610752057</v>
      </c>
      <c r="F25" s="112" t="b">
        <v>1</v>
      </c>
      <c r="G25" s="112" t="b">
        <v>0</v>
      </c>
      <c r="H25" s="112" t="b">
        <v>0</v>
      </c>
      <c r="I25" s="112" t="b">
        <v>1</v>
      </c>
      <c r="J25" s="112" t="b">
        <v>0</v>
      </c>
      <c r="K25" s="112" t="b">
        <v>0</v>
      </c>
      <c r="L25" s="112" t="s">
        <v>3521</v>
      </c>
    </row>
    <row r="26" spans="1:12" ht="15">
      <c r="A26" s="114" t="s">
        <v>2761</v>
      </c>
      <c r="B26" s="116" t="s">
        <v>2832</v>
      </c>
      <c r="C26" s="112">
        <v>3</v>
      </c>
      <c r="D26" s="115">
        <v>0.002163130930128323</v>
      </c>
      <c r="E26" s="115">
        <v>2.8723019847046682</v>
      </c>
      <c r="F26" s="112" t="b">
        <v>0</v>
      </c>
      <c r="G26" s="112" t="b">
        <v>0</v>
      </c>
      <c r="H26" s="112" t="b">
        <v>0</v>
      </c>
      <c r="I26" s="112" t="b">
        <v>0</v>
      </c>
      <c r="J26" s="112" t="b">
        <v>0</v>
      </c>
      <c r="K26" s="112" t="b">
        <v>0</v>
      </c>
      <c r="L26" s="112" t="s">
        <v>3521</v>
      </c>
    </row>
    <row r="27" spans="1:12" ht="15">
      <c r="A27" s="114" t="s">
        <v>2375</v>
      </c>
      <c r="B27" s="116" t="s">
        <v>2375</v>
      </c>
      <c r="C27" s="112">
        <v>3</v>
      </c>
      <c r="D27" s="115">
        <v>0.0017124496441840574</v>
      </c>
      <c r="E27" s="115">
        <v>1.3251428633772508</v>
      </c>
      <c r="F27" s="112" t="b">
        <v>1</v>
      </c>
      <c r="G27" s="112" t="b">
        <v>0</v>
      </c>
      <c r="H27" s="112" t="b">
        <v>0</v>
      </c>
      <c r="I27" s="112" t="b">
        <v>1</v>
      </c>
      <c r="J27" s="112" t="b">
        <v>0</v>
      </c>
      <c r="K27" s="112" t="b">
        <v>0</v>
      </c>
      <c r="L27" s="112" t="s">
        <v>3521</v>
      </c>
    </row>
    <row r="28" spans="1:12" ht="15">
      <c r="A28" s="114" t="s">
        <v>2374</v>
      </c>
      <c r="B28" s="116" t="s">
        <v>2381</v>
      </c>
      <c r="C28" s="112">
        <v>3</v>
      </c>
      <c r="D28" s="115">
        <v>0.0017124496441840574</v>
      </c>
      <c r="E28" s="115">
        <v>0.8214712810803888</v>
      </c>
      <c r="F28" s="112" t="b">
        <v>1</v>
      </c>
      <c r="G28" s="112" t="b">
        <v>0</v>
      </c>
      <c r="H28" s="112" t="b">
        <v>0</v>
      </c>
      <c r="I28" s="112" t="b">
        <v>0</v>
      </c>
      <c r="J28" s="112" t="b">
        <v>0</v>
      </c>
      <c r="K28" s="112" t="b">
        <v>0</v>
      </c>
      <c r="L28" s="112" t="s">
        <v>3521</v>
      </c>
    </row>
    <row r="29" spans="1:12" ht="15">
      <c r="A29" s="114" t="s">
        <v>2376</v>
      </c>
      <c r="B29" s="116" t="s">
        <v>681</v>
      </c>
      <c r="C29" s="112">
        <v>3</v>
      </c>
      <c r="D29" s="115">
        <v>0.0017124496441840574</v>
      </c>
      <c r="E29" s="115">
        <v>0.21437013644633193</v>
      </c>
      <c r="F29" s="112" t="b">
        <v>0</v>
      </c>
      <c r="G29" s="112" t="b">
        <v>0</v>
      </c>
      <c r="H29" s="112" t="b">
        <v>0</v>
      </c>
      <c r="I29" s="112" t="b">
        <v>1</v>
      </c>
      <c r="J29" s="112" t="b">
        <v>0</v>
      </c>
      <c r="K29" s="112" t="b">
        <v>0</v>
      </c>
      <c r="L29" s="112" t="s">
        <v>3521</v>
      </c>
    </row>
    <row r="30" spans="1:12" ht="15">
      <c r="A30" s="114" t="s">
        <v>2708</v>
      </c>
      <c r="B30" s="116" t="s">
        <v>2706</v>
      </c>
      <c r="C30" s="112">
        <v>3</v>
      </c>
      <c r="D30" s="115">
        <v>0.0017124496441840574</v>
      </c>
      <c r="E30" s="115">
        <v>2.8723019847046682</v>
      </c>
      <c r="F30" s="112" t="b">
        <v>0</v>
      </c>
      <c r="G30" s="112" t="b">
        <v>0</v>
      </c>
      <c r="H30" s="112" t="b">
        <v>0</v>
      </c>
      <c r="I30" s="112" t="b">
        <v>0</v>
      </c>
      <c r="J30" s="112" t="b">
        <v>0</v>
      </c>
      <c r="K30" s="112" t="b">
        <v>0</v>
      </c>
      <c r="L30" s="112" t="s">
        <v>3521</v>
      </c>
    </row>
    <row r="31" spans="1:12" ht="15">
      <c r="A31" s="114" t="s">
        <v>2806</v>
      </c>
      <c r="B31" s="116" t="s">
        <v>2775</v>
      </c>
      <c r="C31" s="112">
        <v>3</v>
      </c>
      <c r="D31" s="115">
        <v>0.0017124496441840574</v>
      </c>
      <c r="E31" s="115">
        <v>2.8723019847046682</v>
      </c>
      <c r="F31" s="112" t="b">
        <v>0</v>
      </c>
      <c r="G31" s="112" t="b">
        <v>0</v>
      </c>
      <c r="H31" s="112" t="b">
        <v>0</v>
      </c>
      <c r="I31" s="112" t="b">
        <v>0</v>
      </c>
      <c r="J31" s="112" t="b">
        <v>1</v>
      </c>
      <c r="K31" s="112" t="b">
        <v>0</v>
      </c>
      <c r="L31" s="112" t="s">
        <v>3521</v>
      </c>
    </row>
    <row r="32" spans="1:12" ht="15">
      <c r="A32" s="114" t="s">
        <v>2702</v>
      </c>
      <c r="B32" s="116" t="s">
        <v>2702</v>
      </c>
      <c r="C32" s="112">
        <v>3</v>
      </c>
      <c r="D32" s="115">
        <v>0.0017124496441840574</v>
      </c>
      <c r="E32" s="115">
        <v>2.4743619760326307</v>
      </c>
      <c r="F32" s="112" t="b">
        <v>0</v>
      </c>
      <c r="G32" s="112" t="b">
        <v>1</v>
      </c>
      <c r="H32" s="112" t="b">
        <v>0</v>
      </c>
      <c r="I32" s="112" t="b">
        <v>0</v>
      </c>
      <c r="J32" s="112" t="b">
        <v>1</v>
      </c>
      <c r="K32" s="112" t="b">
        <v>0</v>
      </c>
      <c r="L32" s="112" t="s">
        <v>3521</v>
      </c>
    </row>
    <row r="33" spans="1:12" ht="15">
      <c r="A33" s="114" t="s">
        <v>2373</v>
      </c>
      <c r="B33" s="116" t="s">
        <v>2846</v>
      </c>
      <c r="C33" s="112">
        <v>3</v>
      </c>
      <c r="D33" s="115">
        <v>0.0017124496441840574</v>
      </c>
      <c r="E33" s="115">
        <v>1.347257177667823</v>
      </c>
      <c r="F33" s="112" t="b">
        <v>1</v>
      </c>
      <c r="G33" s="112" t="b">
        <v>0</v>
      </c>
      <c r="H33" s="112" t="b">
        <v>0</v>
      </c>
      <c r="I33" s="112" t="b">
        <v>0</v>
      </c>
      <c r="J33" s="112" t="b">
        <v>1</v>
      </c>
      <c r="K33" s="112" t="b">
        <v>0</v>
      </c>
      <c r="L33" s="112" t="s">
        <v>3521</v>
      </c>
    </row>
    <row r="34" spans="1:12" ht="15">
      <c r="A34" s="114" t="s">
        <v>2711</v>
      </c>
      <c r="B34" s="116" t="s">
        <v>2848</v>
      </c>
      <c r="C34" s="112">
        <v>3</v>
      </c>
      <c r="D34" s="115">
        <v>0.00187878269744824</v>
      </c>
      <c r="E34" s="115">
        <v>2.775391971696612</v>
      </c>
      <c r="F34" s="112" t="b">
        <v>0</v>
      </c>
      <c r="G34" s="112" t="b">
        <v>0</v>
      </c>
      <c r="H34" s="112" t="b">
        <v>0</v>
      </c>
      <c r="I34" s="112" t="b">
        <v>0</v>
      </c>
      <c r="J34" s="112" t="b">
        <v>0</v>
      </c>
      <c r="K34" s="112" t="b">
        <v>0</v>
      </c>
      <c r="L34" s="112" t="s">
        <v>3521</v>
      </c>
    </row>
    <row r="35" spans="1:12" ht="15">
      <c r="A35" s="114" t="s">
        <v>2734</v>
      </c>
      <c r="B35" s="116" t="s">
        <v>2679</v>
      </c>
      <c r="C35" s="112">
        <v>3</v>
      </c>
      <c r="D35" s="115">
        <v>0.0017124496441840574</v>
      </c>
      <c r="E35" s="115">
        <v>2.650453235088312</v>
      </c>
      <c r="F35" s="112" t="b">
        <v>0</v>
      </c>
      <c r="G35" s="112" t="b">
        <v>0</v>
      </c>
      <c r="H35" s="112" t="b">
        <v>0</v>
      </c>
      <c r="I35" s="112" t="b">
        <v>1</v>
      </c>
      <c r="J35" s="112" t="b">
        <v>0</v>
      </c>
      <c r="K35" s="112" t="b">
        <v>0</v>
      </c>
      <c r="L35" s="112" t="s">
        <v>3521</v>
      </c>
    </row>
    <row r="36" spans="1:12" ht="15">
      <c r="A36" s="114" t="s">
        <v>2770</v>
      </c>
      <c r="B36" s="116" t="s">
        <v>2736</v>
      </c>
      <c r="C36" s="112">
        <v>3</v>
      </c>
      <c r="D36" s="115">
        <v>0.00187878269744824</v>
      </c>
      <c r="E36" s="115">
        <v>2.9972407213129686</v>
      </c>
      <c r="F36" s="112" t="b">
        <v>0</v>
      </c>
      <c r="G36" s="112" t="b">
        <v>0</v>
      </c>
      <c r="H36" s="112" t="b">
        <v>0</v>
      </c>
      <c r="I36" s="112" t="b">
        <v>0</v>
      </c>
      <c r="J36" s="112" t="b">
        <v>0</v>
      </c>
      <c r="K36" s="112" t="b">
        <v>0</v>
      </c>
      <c r="L36" s="112" t="s">
        <v>3521</v>
      </c>
    </row>
    <row r="37" spans="1:12" ht="15">
      <c r="A37" s="114" t="s">
        <v>2657</v>
      </c>
      <c r="B37" s="116" t="s">
        <v>2377</v>
      </c>
      <c r="C37" s="112">
        <v>3</v>
      </c>
      <c r="D37" s="115">
        <v>0.0017124496441840574</v>
      </c>
      <c r="E37" s="115">
        <v>1.2982707169769494</v>
      </c>
      <c r="F37" s="112" t="b">
        <v>0</v>
      </c>
      <c r="G37" s="112" t="b">
        <v>0</v>
      </c>
      <c r="H37" s="112" t="b">
        <v>0</v>
      </c>
      <c r="I37" s="112" t="b">
        <v>0</v>
      </c>
      <c r="J37" s="112" t="b">
        <v>0</v>
      </c>
      <c r="K37" s="112" t="b">
        <v>0</v>
      </c>
      <c r="L37" s="112" t="s">
        <v>3521</v>
      </c>
    </row>
    <row r="38" spans="1:12" ht="15">
      <c r="A38" s="114" t="s">
        <v>2638</v>
      </c>
      <c r="B38" s="116" t="s">
        <v>2686</v>
      </c>
      <c r="C38" s="112">
        <v>3</v>
      </c>
      <c r="D38" s="115">
        <v>0.00187878269744824</v>
      </c>
      <c r="E38" s="115">
        <v>1.8276315897852073</v>
      </c>
      <c r="F38" s="112" t="b">
        <v>0</v>
      </c>
      <c r="G38" s="112" t="b">
        <v>0</v>
      </c>
      <c r="H38" s="112" t="b">
        <v>0</v>
      </c>
      <c r="I38" s="112" t="b">
        <v>0</v>
      </c>
      <c r="J38" s="112" t="b">
        <v>0</v>
      </c>
      <c r="K38" s="112" t="b">
        <v>0</v>
      </c>
      <c r="L38" s="112" t="s">
        <v>3521</v>
      </c>
    </row>
    <row r="39" spans="1:12" ht="15">
      <c r="A39" s="114" t="s">
        <v>2376</v>
      </c>
      <c r="B39" s="116" t="s">
        <v>2829</v>
      </c>
      <c r="C39" s="112">
        <v>3</v>
      </c>
      <c r="D39" s="115">
        <v>0.0017124496441840574</v>
      </c>
      <c r="E39" s="115">
        <v>1.7500861064318418</v>
      </c>
      <c r="F39" s="112" t="b">
        <v>0</v>
      </c>
      <c r="G39" s="112" t="b">
        <v>0</v>
      </c>
      <c r="H39" s="112" t="b">
        <v>0</v>
      </c>
      <c r="I39" s="112" t="b">
        <v>0</v>
      </c>
      <c r="J39" s="112" t="b">
        <v>0</v>
      </c>
      <c r="K39" s="112" t="b">
        <v>0</v>
      </c>
      <c r="L39" s="112" t="s">
        <v>3521</v>
      </c>
    </row>
    <row r="40" spans="1:12" ht="15">
      <c r="A40" s="114" t="s">
        <v>681</v>
      </c>
      <c r="B40" s="116" t="s">
        <v>2710</v>
      </c>
      <c r="C40" s="112">
        <v>3</v>
      </c>
      <c r="D40" s="115">
        <v>0.0017124496441840574</v>
      </c>
      <c r="E40" s="115">
        <v>1.1521426812987114</v>
      </c>
      <c r="F40" s="112" t="b">
        <v>1</v>
      </c>
      <c r="G40" s="112" t="b">
        <v>0</v>
      </c>
      <c r="H40" s="112" t="b">
        <v>0</v>
      </c>
      <c r="I40" s="112" t="b">
        <v>1</v>
      </c>
      <c r="J40" s="112" t="b">
        <v>0</v>
      </c>
      <c r="K40" s="112" t="b">
        <v>0</v>
      </c>
      <c r="L40" s="112" t="s">
        <v>3521</v>
      </c>
    </row>
    <row r="41" spans="1:12" ht="15">
      <c r="A41" s="114" t="s">
        <v>2682</v>
      </c>
      <c r="B41" s="116" t="s">
        <v>2762</v>
      </c>
      <c r="C41" s="112">
        <v>3</v>
      </c>
      <c r="D41" s="115">
        <v>0.0017124496441840574</v>
      </c>
      <c r="E41" s="115">
        <v>2.504325199410074</v>
      </c>
      <c r="F41" s="112" t="b">
        <v>0</v>
      </c>
      <c r="G41" s="112" t="b">
        <v>0</v>
      </c>
      <c r="H41" s="112" t="b">
        <v>0</v>
      </c>
      <c r="I41" s="112" t="b">
        <v>1</v>
      </c>
      <c r="J41" s="112" t="b">
        <v>0</v>
      </c>
      <c r="K41" s="112" t="b">
        <v>0</v>
      </c>
      <c r="L41" s="112" t="s">
        <v>3521</v>
      </c>
    </row>
    <row r="42" spans="1:12" ht="15">
      <c r="A42" s="114" t="s">
        <v>2374</v>
      </c>
      <c r="B42" s="116" t="s">
        <v>2698</v>
      </c>
      <c r="C42" s="112">
        <v>3</v>
      </c>
      <c r="D42" s="115">
        <v>0.0017124496441840574</v>
      </c>
      <c r="E42" s="115">
        <v>1.3220736316495743</v>
      </c>
      <c r="F42" s="112" t="b">
        <v>1</v>
      </c>
      <c r="G42" s="112" t="b">
        <v>0</v>
      </c>
      <c r="H42" s="112" t="b">
        <v>0</v>
      </c>
      <c r="I42" s="112" t="b">
        <v>0</v>
      </c>
      <c r="J42" s="112" t="b">
        <v>0</v>
      </c>
      <c r="K42" s="112" t="b">
        <v>0</v>
      </c>
      <c r="L42" s="112" t="s">
        <v>3521</v>
      </c>
    </row>
    <row r="43" spans="1:12" ht="15">
      <c r="A43" s="114" t="s">
        <v>2701</v>
      </c>
      <c r="B43" s="116" t="s">
        <v>681</v>
      </c>
      <c r="C43" s="112">
        <v>3</v>
      </c>
      <c r="D43" s="115">
        <v>0.0017124496441840574</v>
      </c>
      <c r="E43" s="115">
        <v>1.2396760017111021</v>
      </c>
      <c r="F43" s="112" t="b">
        <v>0</v>
      </c>
      <c r="G43" s="112" t="b">
        <v>0</v>
      </c>
      <c r="H43" s="112" t="b">
        <v>0</v>
      </c>
      <c r="I43" s="112" t="b">
        <v>1</v>
      </c>
      <c r="J43" s="112" t="b">
        <v>0</v>
      </c>
      <c r="K43" s="112" t="b">
        <v>0</v>
      </c>
      <c r="L43" s="112" t="s">
        <v>3521</v>
      </c>
    </row>
    <row r="44" spans="1:12" ht="15">
      <c r="A44" s="114" t="s">
        <v>2805</v>
      </c>
      <c r="B44" s="116" t="s">
        <v>2651</v>
      </c>
      <c r="C44" s="112">
        <v>2</v>
      </c>
      <c r="D44" s="115">
        <v>0.0012525217982988267</v>
      </c>
      <c r="E44" s="115">
        <v>2.4743619760326307</v>
      </c>
      <c r="F44" s="112" t="b">
        <v>0</v>
      </c>
      <c r="G44" s="112" t="b">
        <v>0</v>
      </c>
      <c r="H44" s="112" t="b">
        <v>0</v>
      </c>
      <c r="I44" s="112" t="b">
        <v>0</v>
      </c>
      <c r="J44" s="112" t="b">
        <v>0</v>
      </c>
      <c r="K44" s="112" t="b">
        <v>0</v>
      </c>
      <c r="L44" s="112" t="s">
        <v>3521</v>
      </c>
    </row>
    <row r="45" spans="1:12" ht="15">
      <c r="A45" s="114" t="s">
        <v>2637</v>
      </c>
      <c r="B45" s="116" t="s">
        <v>2702</v>
      </c>
      <c r="C45" s="112">
        <v>2</v>
      </c>
      <c r="D45" s="115">
        <v>0.0012525217982988267</v>
      </c>
      <c r="E45" s="115">
        <v>1.8511126856347304</v>
      </c>
      <c r="F45" s="112" t="b">
        <v>0</v>
      </c>
      <c r="G45" s="112" t="b">
        <v>0</v>
      </c>
      <c r="H45" s="112" t="b">
        <v>0</v>
      </c>
      <c r="I45" s="112" t="b">
        <v>0</v>
      </c>
      <c r="J45" s="112" t="b">
        <v>1</v>
      </c>
      <c r="K45" s="112" t="b">
        <v>0</v>
      </c>
      <c r="L45" s="112" t="s">
        <v>3521</v>
      </c>
    </row>
    <row r="46" spans="1:12" ht="15">
      <c r="A46" s="114" t="s">
        <v>2666</v>
      </c>
      <c r="B46" s="116" t="s">
        <v>2897</v>
      </c>
      <c r="C46" s="112">
        <v>2</v>
      </c>
      <c r="D46" s="115">
        <v>0.0012525217982988267</v>
      </c>
      <c r="E46" s="115">
        <v>2.629263936018374</v>
      </c>
      <c r="F46" s="112" t="b">
        <v>0</v>
      </c>
      <c r="G46" s="112" t="b">
        <v>0</v>
      </c>
      <c r="H46" s="112" t="b">
        <v>0</v>
      </c>
      <c r="I46" s="112" t="b">
        <v>0</v>
      </c>
      <c r="J46" s="112" t="b">
        <v>0</v>
      </c>
      <c r="K46" s="112" t="b">
        <v>0</v>
      </c>
      <c r="L46" s="112" t="s">
        <v>3521</v>
      </c>
    </row>
    <row r="47" spans="1:12" ht="15">
      <c r="A47" s="114" t="s">
        <v>2839</v>
      </c>
      <c r="B47" s="116" t="s">
        <v>2839</v>
      </c>
      <c r="C47" s="112">
        <v>2</v>
      </c>
      <c r="D47" s="115">
        <v>0.0014420872867522152</v>
      </c>
      <c r="E47" s="115">
        <v>2.8211494622572872</v>
      </c>
      <c r="F47" s="112" t="b">
        <v>0</v>
      </c>
      <c r="G47" s="112" t="b">
        <v>0</v>
      </c>
      <c r="H47" s="112" t="b">
        <v>0</v>
      </c>
      <c r="I47" s="112" t="b">
        <v>0</v>
      </c>
      <c r="J47" s="112" t="b">
        <v>0</v>
      </c>
      <c r="K47" s="112" t="b">
        <v>0</v>
      </c>
      <c r="L47" s="112" t="s">
        <v>3521</v>
      </c>
    </row>
    <row r="48" spans="1:12" ht="15">
      <c r="A48" s="114" t="s">
        <v>2794</v>
      </c>
      <c r="B48" s="116" t="s">
        <v>2940</v>
      </c>
      <c r="C48" s="112">
        <v>2</v>
      </c>
      <c r="D48" s="115">
        <v>0.0012525217982988267</v>
      </c>
      <c r="E48" s="115">
        <v>3.1733319803686495</v>
      </c>
      <c r="F48" s="112" t="b">
        <v>0</v>
      </c>
      <c r="G48" s="112" t="b">
        <v>1</v>
      </c>
      <c r="H48" s="112" t="b">
        <v>0</v>
      </c>
      <c r="I48" s="112" t="b">
        <v>0</v>
      </c>
      <c r="J48" s="112" t="b">
        <v>0</v>
      </c>
      <c r="K48" s="112" t="b">
        <v>0</v>
      </c>
      <c r="L48" s="112" t="s">
        <v>3521</v>
      </c>
    </row>
    <row r="49" spans="1:12" ht="15">
      <c r="A49" s="114" t="s">
        <v>2374</v>
      </c>
      <c r="B49" s="116" t="s">
        <v>2721</v>
      </c>
      <c r="C49" s="112">
        <v>2</v>
      </c>
      <c r="D49" s="115">
        <v>0.0012525217982988267</v>
      </c>
      <c r="E49" s="115">
        <v>1.2251636186415178</v>
      </c>
      <c r="F49" s="112" t="b">
        <v>1</v>
      </c>
      <c r="G49" s="112" t="b">
        <v>0</v>
      </c>
      <c r="H49" s="112" t="b">
        <v>0</v>
      </c>
      <c r="I49" s="112" t="b">
        <v>0</v>
      </c>
      <c r="J49" s="112" t="b">
        <v>0</v>
      </c>
      <c r="K49" s="112" t="b">
        <v>0</v>
      </c>
      <c r="L49" s="112" t="s">
        <v>3521</v>
      </c>
    </row>
    <row r="50" spans="1:12" ht="15">
      <c r="A50" s="114" t="s">
        <v>2656</v>
      </c>
      <c r="B50" s="116" t="s">
        <v>3011</v>
      </c>
      <c r="C50" s="112">
        <v>2</v>
      </c>
      <c r="D50" s="115">
        <v>0.0014420872867522152</v>
      </c>
      <c r="E50" s="115">
        <v>2.571271989040687</v>
      </c>
      <c r="F50" s="112" t="b">
        <v>0</v>
      </c>
      <c r="G50" s="112" t="b">
        <v>0</v>
      </c>
      <c r="H50" s="112" t="b">
        <v>0</v>
      </c>
      <c r="I50" s="112" t="b">
        <v>0</v>
      </c>
      <c r="J50" s="112" t="b">
        <v>0</v>
      </c>
      <c r="K50" s="112" t="b">
        <v>0</v>
      </c>
      <c r="L50" s="112" t="s">
        <v>3521</v>
      </c>
    </row>
    <row r="51" spans="1:12" ht="15">
      <c r="A51" s="114" t="s">
        <v>2890</v>
      </c>
      <c r="B51" s="116" t="s">
        <v>681</v>
      </c>
      <c r="C51" s="112">
        <v>2</v>
      </c>
      <c r="D51" s="115">
        <v>0.0012525217982988267</v>
      </c>
      <c r="E51" s="115">
        <v>1.4615247513274585</v>
      </c>
      <c r="F51" s="112" t="b">
        <v>0</v>
      </c>
      <c r="G51" s="112" t="b">
        <v>0</v>
      </c>
      <c r="H51" s="112" t="b">
        <v>0</v>
      </c>
      <c r="I51" s="112" t="b">
        <v>1</v>
      </c>
      <c r="J51" s="112" t="b">
        <v>0</v>
      </c>
      <c r="K51" s="112" t="b">
        <v>0</v>
      </c>
      <c r="L51" s="112" t="s">
        <v>3521</v>
      </c>
    </row>
    <row r="52" spans="1:12" ht="15">
      <c r="A52" s="114" t="s">
        <v>2873</v>
      </c>
      <c r="B52" s="116" t="s">
        <v>2977</v>
      </c>
      <c r="C52" s="112">
        <v>2</v>
      </c>
      <c r="D52" s="115">
        <v>0.0012525217982988267</v>
      </c>
      <c r="E52" s="115">
        <v>3.1733319803686495</v>
      </c>
      <c r="F52" s="112" t="b">
        <v>0</v>
      </c>
      <c r="G52" s="112" t="b">
        <v>0</v>
      </c>
      <c r="H52" s="112" t="b">
        <v>0</v>
      </c>
      <c r="I52" s="112" t="b">
        <v>0</v>
      </c>
      <c r="J52" s="112" t="b">
        <v>0</v>
      </c>
      <c r="K52" s="112" t="b">
        <v>0</v>
      </c>
      <c r="L52" s="112" t="s">
        <v>3521</v>
      </c>
    </row>
    <row r="53" spans="1:12" ht="15">
      <c r="A53" s="114" t="s">
        <v>2760</v>
      </c>
      <c r="B53" s="116" t="s">
        <v>2638</v>
      </c>
      <c r="C53" s="112">
        <v>2</v>
      </c>
      <c r="D53" s="115">
        <v>0.0012525217982988267</v>
      </c>
      <c r="E53" s="115">
        <v>1.9180594752653435</v>
      </c>
      <c r="F53" s="112" t="b">
        <v>0</v>
      </c>
      <c r="G53" s="112" t="b">
        <v>0</v>
      </c>
      <c r="H53" s="112" t="b">
        <v>0</v>
      </c>
      <c r="I53" s="112" t="b">
        <v>0</v>
      </c>
      <c r="J53" s="112" t="b">
        <v>0</v>
      </c>
      <c r="K53" s="112" t="b">
        <v>0</v>
      </c>
      <c r="L53" s="112" t="s">
        <v>3521</v>
      </c>
    </row>
    <row r="54" spans="1:12" ht="15">
      <c r="A54" s="114" t="s">
        <v>2714</v>
      </c>
      <c r="B54" s="116" t="s">
        <v>2636</v>
      </c>
      <c r="C54" s="112">
        <v>2</v>
      </c>
      <c r="D54" s="115">
        <v>0.0014420872867522152</v>
      </c>
      <c r="E54" s="115">
        <v>1.8459730459823194</v>
      </c>
      <c r="F54" s="112" t="b">
        <v>0</v>
      </c>
      <c r="G54" s="112" t="b">
        <v>0</v>
      </c>
      <c r="H54" s="112" t="b">
        <v>0</v>
      </c>
      <c r="I54" s="112" t="b">
        <v>0</v>
      </c>
      <c r="J54" s="112" t="b">
        <v>0</v>
      </c>
      <c r="K54" s="112" t="b">
        <v>0</v>
      </c>
      <c r="L54" s="112" t="s">
        <v>3521</v>
      </c>
    </row>
    <row r="55" spans="1:12" ht="15">
      <c r="A55" s="114" t="s">
        <v>2886</v>
      </c>
      <c r="B55" s="116" t="s">
        <v>2654</v>
      </c>
      <c r="C55" s="112">
        <v>2</v>
      </c>
      <c r="D55" s="115">
        <v>0.0014420872867522152</v>
      </c>
      <c r="E55" s="115">
        <v>2.4743619760326307</v>
      </c>
      <c r="F55" s="112" t="b">
        <v>0</v>
      </c>
      <c r="G55" s="112" t="b">
        <v>0</v>
      </c>
      <c r="H55" s="112" t="b">
        <v>0</v>
      </c>
      <c r="I55" s="112" t="b">
        <v>0</v>
      </c>
      <c r="J55" s="112" t="b">
        <v>0</v>
      </c>
      <c r="K55" s="112" t="b">
        <v>0</v>
      </c>
      <c r="L55" s="112" t="s">
        <v>3521</v>
      </c>
    </row>
    <row r="56" spans="1:12" ht="15">
      <c r="A56" s="114" t="s">
        <v>2680</v>
      </c>
      <c r="B56" s="116" t="s">
        <v>2885</v>
      </c>
      <c r="C56" s="112">
        <v>2</v>
      </c>
      <c r="D56" s="115">
        <v>0.0014420872867522152</v>
      </c>
      <c r="E56" s="115">
        <v>2.629263936018374</v>
      </c>
      <c r="F56" s="112" t="b">
        <v>1</v>
      </c>
      <c r="G56" s="112" t="b">
        <v>0</v>
      </c>
      <c r="H56" s="112" t="b">
        <v>0</v>
      </c>
      <c r="I56" s="112" t="b">
        <v>0</v>
      </c>
      <c r="J56" s="112" t="b">
        <v>0</v>
      </c>
      <c r="K56" s="112" t="b">
        <v>0</v>
      </c>
      <c r="L56" s="112" t="s">
        <v>3521</v>
      </c>
    </row>
    <row r="57" spans="1:12" ht="15">
      <c r="A57" s="114" t="s">
        <v>2374</v>
      </c>
      <c r="B57" s="116" t="s">
        <v>2643</v>
      </c>
      <c r="C57" s="112">
        <v>2</v>
      </c>
      <c r="D57" s="115">
        <v>0.0012525217982988267</v>
      </c>
      <c r="E57" s="115">
        <v>0.8449523769299119</v>
      </c>
      <c r="F57" s="112" t="b">
        <v>1</v>
      </c>
      <c r="G57" s="112" t="b">
        <v>0</v>
      </c>
      <c r="H57" s="112" t="b">
        <v>0</v>
      </c>
      <c r="I57" s="112" t="b">
        <v>0</v>
      </c>
      <c r="J57" s="112" t="b">
        <v>0</v>
      </c>
      <c r="K57" s="112" t="b">
        <v>0</v>
      </c>
      <c r="L57" s="112" t="s">
        <v>3521</v>
      </c>
    </row>
    <row r="58" spans="1:12" ht="15">
      <c r="A58" s="114" t="s">
        <v>2924</v>
      </c>
      <c r="B58" s="116" t="s">
        <v>2660</v>
      </c>
      <c r="C58" s="112">
        <v>2</v>
      </c>
      <c r="D58" s="115">
        <v>0.0012525217982988267</v>
      </c>
      <c r="E58" s="115">
        <v>2.4743619760326307</v>
      </c>
      <c r="F58" s="112" t="b">
        <v>0</v>
      </c>
      <c r="G58" s="112" t="b">
        <v>1</v>
      </c>
      <c r="H58" s="112" t="b">
        <v>0</v>
      </c>
      <c r="I58" s="112" t="b">
        <v>0</v>
      </c>
      <c r="J58" s="112" t="b">
        <v>0</v>
      </c>
      <c r="K58" s="112" t="b">
        <v>0</v>
      </c>
      <c r="L58" s="112" t="s">
        <v>3521</v>
      </c>
    </row>
    <row r="59" spans="1:12" ht="15">
      <c r="A59" s="114" t="s">
        <v>2687</v>
      </c>
      <c r="B59" s="116" t="s">
        <v>2752</v>
      </c>
      <c r="C59" s="112">
        <v>2</v>
      </c>
      <c r="D59" s="115">
        <v>0.0012525217982988267</v>
      </c>
      <c r="E59" s="115">
        <v>2.3282339403543926</v>
      </c>
      <c r="F59" s="112" t="b">
        <v>1</v>
      </c>
      <c r="G59" s="112" t="b">
        <v>0</v>
      </c>
      <c r="H59" s="112" t="b">
        <v>0</v>
      </c>
      <c r="I59" s="112" t="b">
        <v>0</v>
      </c>
      <c r="J59" s="112" t="b">
        <v>0</v>
      </c>
      <c r="K59" s="112" t="b">
        <v>0</v>
      </c>
      <c r="L59" s="112" t="s">
        <v>3521</v>
      </c>
    </row>
    <row r="60" spans="1:12" ht="15">
      <c r="A60" s="114" t="s">
        <v>2381</v>
      </c>
      <c r="B60" s="116" t="s">
        <v>2373</v>
      </c>
      <c r="C60" s="112">
        <v>2</v>
      </c>
      <c r="D60" s="115">
        <v>0.0012525217982988267</v>
      </c>
      <c r="E60" s="115">
        <v>0.3663046022487768</v>
      </c>
      <c r="F60" s="112" t="b">
        <v>0</v>
      </c>
      <c r="G60" s="112" t="b">
        <v>0</v>
      </c>
      <c r="H60" s="112" t="b">
        <v>0</v>
      </c>
      <c r="I60" s="112" t="b">
        <v>1</v>
      </c>
      <c r="J60" s="112" t="b">
        <v>0</v>
      </c>
      <c r="K60" s="112" t="b">
        <v>0</v>
      </c>
      <c r="L60" s="112" t="s">
        <v>3521</v>
      </c>
    </row>
    <row r="61" spans="1:12" ht="15">
      <c r="A61" s="114" t="s">
        <v>2374</v>
      </c>
      <c r="B61" s="116" t="s">
        <v>2823</v>
      </c>
      <c r="C61" s="112">
        <v>2</v>
      </c>
      <c r="D61" s="115">
        <v>0.0012525217982988267</v>
      </c>
      <c r="E61" s="115">
        <v>1.6231036273135555</v>
      </c>
      <c r="F61" s="112" t="b">
        <v>1</v>
      </c>
      <c r="G61" s="112" t="b">
        <v>0</v>
      </c>
      <c r="H61" s="112" t="b">
        <v>0</v>
      </c>
      <c r="I61" s="112" t="b">
        <v>1</v>
      </c>
      <c r="J61" s="112" t="b">
        <v>0</v>
      </c>
      <c r="K61" s="112" t="b">
        <v>0</v>
      </c>
      <c r="L61" s="112" t="s">
        <v>3521</v>
      </c>
    </row>
    <row r="62" spans="1:12" ht="15">
      <c r="A62" s="114" t="s">
        <v>2849</v>
      </c>
      <c r="B62" s="116" t="s">
        <v>2673</v>
      </c>
      <c r="C62" s="112">
        <v>2</v>
      </c>
      <c r="D62" s="115">
        <v>0.0014420872867522152</v>
      </c>
      <c r="E62" s="115">
        <v>2.395180729985006</v>
      </c>
      <c r="F62" s="112" t="b">
        <v>1</v>
      </c>
      <c r="G62" s="112" t="b">
        <v>0</v>
      </c>
      <c r="H62" s="112" t="b">
        <v>0</v>
      </c>
      <c r="I62" s="112" t="b">
        <v>0</v>
      </c>
      <c r="J62" s="112" t="b">
        <v>0</v>
      </c>
      <c r="K62" s="112" t="b">
        <v>0</v>
      </c>
      <c r="L62" s="112" t="s">
        <v>3521</v>
      </c>
    </row>
    <row r="63" spans="1:12" ht="15">
      <c r="A63" s="114" t="s">
        <v>2376</v>
      </c>
      <c r="B63" s="116" t="s">
        <v>2900</v>
      </c>
      <c r="C63" s="112">
        <v>2</v>
      </c>
      <c r="D63" s="115">
        <v>0.0012525217982988267</v>
      </c>
      <c r="E63" s="115">
        <v>1.7500861064318418</v>
      </c>
      <c r="F63" s="112" t="b">
        <v>0</v>
      </c>
      <c r="G63" s="112" t="b">
        <v>0</v>
      </c>
      <c r="H63" s="112" t="b">
        <v>0</v>
      </c>
      <c r="I63" s="112" t="b">
        <v>0</v>
      </c>
      <c r="J63" s="112" t="b">
        <v>0</v>
      </c>
      <c r="K63" s="112" t="b">
        <v>0</v>
      </c>
      <c r="L63" s="112" t="s">
        <v>3521</v>
      </c>
    </row>
    <row r="64" spans="1:12" ht="15">
      <c r="A64" s="114" t="s">
        <v>2967</v>
      </c>
      <c r="B64" s="116" t="s">
        <v>2687</v>
      </c>
      <c r="C64" s="112">
        <v>2</v>
      </c>
      <c r="D64" s="115">
        <v>0.0012525217982988267</v>
      </c>
      <c r="E64" s="115">
        <v>2.629263936018374</v>
      </c>
      <c r="F64" s="112" t="b">
        <v>0</v>
      </c>
      <c r="G64" s="112" t="b">
        <v>0</v>
      </c>
      <c r="H64" s="112" t="b">
        <v>0</v>
      </c>
      <c r="I64" s="112" t="b">
        <v>1</v>
      </c>
      <c r="J64" s="112" t="b">
        <v>0</v>
      </c>
      <c r="K64" s="112" t="b">
        <v>0</v>
      </c>
      <c r="L64" s="112" t="s">
        <v>3521</v>
      </c>
    </row>
    <row r="65" spans="1:12" ht="15">
      <c r="A65" s="114" t="s">
        <v>2817</v>
      </c>
      <c r="B65" s="116" t="s">
        <v>2711</v>
      </c>
      <c r="C65" s="112">
        <v>2</v>
      </c>
      <c r="D65" s="115">
        <v>0.0014420872867522152</v>
      </c>
      <c r="E65" s="115">
        <v>2.5993007126409307</v>
      </c>
      <c r="F65" s="112" t="b">
        <v>0</v>
      </c>
      <c r="G65" s="112" t="b">
        <v>0</v>
      </c>
      <c r="H65" s="112" t="b">
        <v>0</v>
      </c>
      <c r="I65" s="112" t="b">
        <v>0</v>
      </c>
      <c r="J65" s="112" t="b">
        <v>0</v>
      </c>
      <c r="K65" s="112" t="b">
        <v>0</v>
      </c>
      <c r="L65" s="112" t="s">
        <v>3521</v>
      </c>
    </row>
    <row r="66" spans="1:12" ht="15">
      <c r="A66" s="114" t="s">
        <v>2377</v>
      </c>
      <c r="B66" s="116" t="s">
        <v>2773</v>
      </c>
      <c r="C66" s="112">
        <v>2</v>
      </c>
      <c r="D66" s="115">
        <v>0.0012525217982988267</v>
      </c>
      <c r="E66" s="115">
        <v>1.520119466593306</v>
      </c>
      <c r="F66" s="112" t="b">
        <v>0</v>
      </c>
      <c r="G66" s="112" t="b">
        <v>0</v>
      </c>
      <c r="H66" s="112" t="b">
        <v>0</v>
      </c>
      <c r="I66" s="112" t="b">
        <v>0</v>
      </c>
      <c r="J66" s="112" t="b">
        <v>0</v>
      </c>
      <c r="K66" s="112" t="b">
        <v>0</v>
      </c>
      <c r="L66" s="112" t="s">
        <v>3521</v>
      </c>
    </row>
    <row r="67" spans="1:12" ht="15">
      <c r="A67" s="114" t="s">
        <v>2377</v>
      </c>
      <c r="B67" s="116" t="s">
        <v>2852</v>
      </c>
      <c r="C67" s="112">
        <v>2</v>
      </c>
      <c r="D67" s="115">
        <v>0.0012525217982988267</v>
      </c>
      <c r="E67" s="115">
        <v>1.645058203201606</v>
      </c>
      <c r="F67" s="112" t="b">
        <v>0</v>
      </c>
      <c r="G67" s="112" t="b">
        <v>0</v>
      </c>
      <c r="H67" s="112" t="b">
        <v>0</v>
      </c>
      <c r="I67" s="112" t="b">
        <v>0</v>
      </c>
      <c r="J67" s="112" t="b">
        <v>0</v>
      </c>
      <c r="K67" s="112" t="b">
        <v>0</v>
      </c>
      <c r="L67" s="112" t="s">
        <v>3521</v>
      </c>
    </row>
    <row r="68" spans="1:12" ht="15">
      <c r="A68" s="114" t="s">
        <v>2651</v>
      </c>
      <c r="B68" s="116" t="s">
        <v>2643</v>
      </c>
      <c r="C68" s="112">
        <v>2</v>
      </c>
      <c r="D68" s="115">
        <v>0.0012525217982988267</v>
      </c>
      <c r="E68" s="115">
        <v>1.6962107256489871</v>
      </c>
      <c r="F68" s="112" t="b">
        <v>0</v>
      </c>
      <c r="G68" s="112" t="b">
        <v>0</v>
      </c>
      <c r="H68" s="112" t="b">
        <v>0</v>
      </c>
      <c r="I68" s="112" t="b">
        <v>0</v>
      </c>
      <c r="J68" s="112" t="b">
        <v>0</v>
      </c>
      <c r="K68" s="112" t="b">
        <v>0</v>
      </c>
      <c r="L68" s="112" t="s">
        <v>3521</v>
      </c>
    </row>
    <row r="69" spans="1:12" ht="15">
      <c r="A69" s="114" t="s">
        <v>359</v>
      </c>
      <c r="B69" s="116" t="s">
        <v>390</v>
      </c>
      <c r="C69" s="112">
        <v>2</v>
      </c>
      <c r="D69" s="115">
        <v>0.0014420872867522152</v>
      </c>
      <c r="E69" s="115">
        <v>2.997240721312968</v>
      </c>
      <c r="F69" s="112" t="b">
        <v>0</v>
      </c>
      <c r="G69" s="112" t="b">
        <v>0</v>
      </c>
      <c r="H69" s="112" t="b">
        <v>0</v>
      </c>
      <c r="I69" s="112" t="b">
        <v>0</v>
      </c>
      <c r="J69" s="112" t="b">
        <v>0</v>
      </c>
      <c r="K69" s="112" t="b">
        <v>0</v>
      </c>
      <c r="L69" s="112" t="s">
        <v>3521</v>
      </c>
    </row>
    <row r="70" spans="1:12" ht="15">
      <c r="A70" s="114" t="s">
        <v>681</v>
      </c>
      <c r="B70" s="116" t="s">
        <v>2466</v>
      </c>
      <c r="C70" s="112">
        <v>2</v>
      </c>
      <c r="D70" s="115">
        <v>0.0012525217982988267</v>
      </c>
      <c r="E70" s="115">
        <v>1.3739914309150678</v>
      </c>
      <c r="F70" s="112" t="b">
        <v>1</v>
      </c>
      <c r="G70" s="112" t="b">
        <v>0</v>
      </c>
      <c r="H70" s="112" t="b">
        <v>0</v>
      </c>
      <c r="I70" s="112" t="b">
        <v>0</v>
      </c>
      <c r="J70" s="112" t="b">
        <v>0</v>
      </c>
      <c r="K70" s="112" t="b">
        <v>0</v>
      </c>
      <c r="L70" s="112" t="s">
        <v>3521</v>
      </c>
    </row>
    <row r="71" spans="1:12" ht="15">
      <c r="A71" s="114" t="s">
        <v>2740</v>
      </c>
      <c r="B71" s="116" t="s">
        <v>2873</v>
      </c>
      <c r="C71" s="112">
        <v>2</v>
      </c>
      <c r="D71" s="115">
        <v>0.0012525217982988267</v>
      </c>
      <c r="E71" s="115">
        <v>2.997240721312968</v>
      </c>
      <c r="F71" s="112" t="b">
        <v>0</v>
      </c>
      <c r="G71" s="112" t="b">
        <v>0</v>
      </c>
      <c r="H71" s="112" t="b">
        <v>0</v>
      </c>
      <c r="I71" s="112" t="b">
        <v>0</v>
      </c>
      <c r="J71" s="112" t="b">
        <v>0</v>
      </c>
      <c r="K71" s="112" t="b">
        <v>0</v>
      </c>
      <c r="L71" s="112" t="s">
        <v>3521</v>
      </c>
    </row>
    <row r="72" spans="1:12" ht="15">
      <c r="A72" s="114" t="s">
        <v>2823</v>
      </c>
      <c r="B72" s="116" t="s">
        <v>2807</v>
      </c>
      <c r="C72" s="112">
        <v>2</v>
      </c>
      <c r="D72" s="115">
        <v>0.0012525217982988267</v>
      </c>
      <c r="E72" s="115">
        <v>3.1733319803686495</v>
      </c>
      <c r="F72" s="112" t="b">
        <v>1</v>
      </c>
      <c r="G72" s="112" t="b">
        <v>0</v>
      </c>
      <c r="H72" s="112" t="b">
        <v>0</v>
      </c>
      <c r="I72" s="112" t="b">
        <v>0</v>
      </c>
      <c r="J72" s="112" t="b">
        <v>0</v>
      </c>
      <c r="K72" s="112" t="b">
        <v>0</v>
      </c>
      <c r="L72" s="112" t="s">
        <v>3521</v>
      </c>
    </row>
    <row r="73" spans="1:12" ht="15">
      <c r="A73" s="114" t="s">
        <v>681</v>
      </c>
      <c r="B73" s="116" t="s">
        <v>3003</v>
      </c>
      <c r="C73" s="112">
        <v>2</v>
      </c>
      <c r="D73" s="115">
        <v>0.0012525217982988267</v>
      </c>
      <c r="E73" s="115">
        <v>1.3739914309150678</v>
      </c>
      <c r="F73" s="112" t="b">
        <v>1</v>
      </c>
      <c r="G73" s="112" t="b">
        <v>0</v>
      </c>
      <c r="H73" s="112" t="b">
        <v>0</v>
      </c>
      <c r="I73" s="112" t="b">
        <v>0</v>
      </c>
      <c r="J73" s="112" t="b">
        <v>0</v>
      </c>
      <c r="K73" s="112" t="b">
        <v>0</v>
      </c>
      <c r="L73" s="112" t="s">
        <v>3521</v>
      </c>
    </row>
    <row r="74" spans="1:12" ht="15">
      <c r="A74" s="114" t="s">
        <v>2689</v>
      </c>
      <c r="B74" s="116" t="s">
        <v>2375</v>
      </c>
      <c r="C74" s="112">
        <v>2</v>
      </c>
      <c r="D74" s="115">
        <v>0.0012525217982988267</v>
      </c>
      <c r="E74" s="115">
        <v>1.2581960737466376</v>
      </c>
      <c r="F74" s="112" t="b">
        <v>0</v>
      </c>
      <c r="G74" s="112" t="b">
        <v>1</v>
      </c>
      <c r="H74" s="112" t="b">
        <v>0</v>
      </c>
      <c r="I74" s="112" t="b">
        <v>1</v>
      </c>
      <c r="J74" s="112" t="b">
        <v>0</v>
      </c>
      <c r="K74" s="112" t="b">
        <v>0</v>
      </c>
      <c r="L74" s="112" t="s">
        <v>3521</v>
      </c>
    </row>
    <row r="75" spans="1:12" ht="15">
      <c r="A75" s="114" t="s">
        <v>2811</v>
      </c>
      <c r="B75" s="116" t="s">
        <v>2941</v>
      </c>
      <c r="C75" s="112">
        <v>2</v>
      </c>
      <c r="D75" s="115">
        <v>0.0012525217982988267</v>
      </c>
      <c r="E75" s="115">
        <v>3.1733319803686495</v>
      </c>
      <c r="F75" s="112" t="b">
        <v>0</v>
      </c>
      <c r="G75" s="112" t="b">
        <v>0</v>
      </c>
      <c r="H75" s="112" t="b">
        <v>0</v>
      </c>
      <c r="I75" s="112" t="b">
        <v>0</v>
      </c>
      <c r="J75" s="112" t="b">
        <v>0</v>
      </c>
      <c r="K75" s="112" t="b">
        <v>0</v>
      </c>
      <c r="L75" s="112" t="s">
        <v>3521</v>
      </c>
    </row>
    <row r="76" spans="1:12" ht="15">
      <c r="A76" s="114" t="s">
        <v>681</v>
      </c>
      <c r="B76" s="116" t="s">
        <v>2704</v>
      </c>
      <c r="C76" s="112">
        <v>2</v>
      </c>
      <c r="D76" s="115">
        <v>0.0012525217982988267</v>
      </c>
      <c r="E76" s="115">
        <v>0.8968701761954054</v>
      </c>
      <c r="F76" s="112" t="b">
        <v>1</v>
      </c>
      <c r="G76" s="112" t="b">
        <v>0</v>
      </c>
      <c r="H76" s="112" t="b">
        <v>0</v>
      </c>
      <c r="I76" s="112" t="b">
        <v>0</v>
      </c>
      <c r="J76" s="112" t="b">
        <v>0</v>
      </c>
      <c r="K76" s="112" t="b">
        <v>0</v>
      </c>
      <c r="L76" s="112" t="s">
        <v>3521</v>
      </c>
    </row>
    <row r="77" spans="1:12" ht="15">
      <c r="A77" s="114" t="s">
        <v>2866</v>
      </c>
      <c r="B77" s="116" t="s">
        <v>2956</v>
      </c>
      <c r="C77" s="112">
        <v>2</v>
      </c>
      <c r="D77" s="115">
        <v>0.0014420872867522152</v>
      </c>
      <c r="E77" s="115">
        <v>3.1733319803686495</v>
      </c>
      <c r="F77" s="112" t="b">
        <v>0</v>
      </c>
      <c r="G77" s="112" t="b">
        <v>0</v>
      </c>
      <c r="H77" s="112" t="b">
        <v>0</v>
      </c>
      <c r="I77" s="112" t="b">
        <v>0</v>
      </c>
      <c r="J77" s="112" t="b">
        <v>0</v>
      </c>
      <c r="K77" s="112" t="b">
        <v>0</v>
      </c>
      <c r="L77" s="112" t="s">
        <v>3521</v>
      </c>
    </row>
    <row r="78" spans="1:12" ht="15">
      <c r="A78" s="114" t="s">
        <v>2654</v>
      </c>
      <c r="B78" s="116" t="s">
        <v>2646</v>
      </c>
      <c r="C78" s="112">
        <v>2</v>
      </c>
      <c r="D78" s="115">
        <v>0.0012525217982988267</v>
      </c>
      <c r="E78" s="115">
        <v>1.6962107256489871</v>
      </c>
      <c r="F78" s="112" t="b">
        <v>0</v>
      </c>
      <c r="G78" s="112" t="b">
        <v>0</v>
      </c>
      <c r="H78" s="112" t="b">
        <v>0</v>
      </c>
      <c r="I78" s="112" t="b">
        <v>0</v>
      </c>
      <c r="J78" s="112" t="b">
        <v>0</v>
      </c>
      <c r="K78" s="112" t="b">
        <v>0</v>
      </c>
      <c r="L78" s="112" t="s">
        <v>3521</v>
      </c>
    </row>
    <row r="79" spans="1:12" ht="15">
      <c r="A79" s="114" t="s">
        <v>2850</v>
      </c>
      <c r="B79" s="116" t="s">
        <v>2703</v>
      </c>
      <c r="C79" s="112">
        <v>2</v>
      </c>
      <c r="D79" s="115">
        <v>0.0012525217982988267</v>
      </c>
      <c r="E79" s="115">
        <v>2.5993007126409307</v>
      </c>
      <c r="F79" s="112" t="b">
        <v>0</v>
      </c>
      <c r="G79" s="112" t="b">
        <v>0</v>
      </c>
      <c r="H79" s="112" t="b">
        <v>0</v>
      </c>
      <c r="I79" s="112" t="b">
        <v>0</v>
      </c>
      <c r="J79" s="112" t="b">
        <v>0</v>
      </c>
      <c r="K79" s="112" t="b">
        <v>0</v>
      </c>
      <c r="L79" s="112" t="s">
        <v>3521</v>
      </c>
    </row>
    <row r="80" spans="1:12" ht="15">
      <c r="A80" s="114" t="s">
        <v>3028</v>
      </c>
      <c r="B80" s="116" t="s">
        <v>2890</v>
      </c>
      <c r="C80" s="112">
        <v>2</v>
      </c>
      <c r="D80" s="115">
        <v>0.0012525217982988267</v>
      </c>
      <c r="E80" s="115">
        <v>3.1733319803686495</v>
      </c>
      <c r="F80" s="112" t="b">
        <v>1</v>
      </c>
      <c r="G80" s="112" t="b">
        <v>0</v>
      </c>
      <c r="H80" s="112" t="b">
        <v>0</v>
      </c>
      <c r="I80" s="112" t="b">
        <v>0</v>
      </c>
      <c r="J80" s="112" t="b">
        <v>0</v>
      </c>
      <c r="K80" s="112" t="b">
        <v>0</v>
      </c>
      <c r="L80" s="112" t="s">
        <v>3521</v>
      </c>
    </row>
    <row r="81" spans="1:12" ht="15">
      <c r="A81" s="114" t="s">
        <v>2638</v>
      </c>
      <c r="B81" s="116" t="s">
        <v>2729</v>
      </c>
      <c r="C81" s="112">
        <v>2</v>
      </c>
      <c r="D81" s="115">
        <v>0.0012525217982988267</v>
      </c>
      <c r="E81" s="115">
        <v>1.7976683664077642</v>
      </c>
      <c r="F81" s="112" t="b">
        <v>0</v>
      </c>
      <c r="G81" s="112" t="b">
        <v>0</v>
      </c>
      <c r="H81" s="112" t="b">
        <v>0</v>
      </c>
      <c r="I81" s="112" t="b">
        <v>0</v>
      </c>
      <c r="J81" s="112" t="b">
        <v>0</v>
      </c>
      <c r="K81" s="112" t="b">
        <v>0</v>
      </c>
      <c r="L81" s="112" t="s">
        <v>3521</v>
      </c>
    </row>
    <row r="82" spans="1:12" ht="15">
      <c r="A82" s="114" t="s">
        <v>2376</v>
      </c>
      <c r="B82" s="116" t="s">
        <v>2741</v>
      </c>
      <c r="C82" s="112">
        <v>2</v>
      </c>
      <c r="D82" s="115">
        <v>0.0012525217982988267</v>
      </c>
      <c r="E82" s="115">
        <v>1.5739948473761605</v>
      </c>
      <c r="F82" s="112" t="b">
        <v>0</v>
      </c>
      <c r="G82" s="112" t="b">
        <v>0</v>
      </c>
      <c r="H82" s="112" t="b">
        <v>0</v>
      </c>
      <c r="I82" s="112" t="b">
        <v>1</v>
      </c>
      <c r="J82" s="112" t="b">
        <v>0</v>
      </c>
      <c r="K82" s="112" t="b">
        <v>0</v>
      </c>
      <c r="L82" s="112" t="s">
        <v>3521</v>
      </c>
    </row>
    <row r="83" spans="1:12" ht="15">
      <c r="A83" s="114" t="s">
        <v>2752</v>
      </c>
      <c r="B83" s="116" t="s">
        <v>2752</v>
      </c>
      <c r="C83" s="112">
        <v>2</v>
      </c>
      <c r="D83" s="115">
        <v>0.0012525217982988267</v>
      </c>
      <c r="E83" s="115">
        <v>2.571271989040687</v>
      </c>
      <c r="F83" s="112" t="b">
        <v>0</v>
      </c>
      <c r="G83" s="112" t="b">
        <v>0</v>
      </c>
      <c r="H83" s="112" t="b">
        <v>0</v>
      </c>
      <c r="I83" s="112" t="b">
        <v>0</v>
      </c>
      <c r="J83" s="112" t="b">
        <v>0</v>
      </c>
      <c r="K83" s="112" t="b">
        <v>0</v>
      </c>
      <c r="L83" s="112" t="s">
        <v>3521</v>
      </c>
    </row>
    <row r="84" spans="1:12" ht="15">
      <c r="A84" s="114" t="s">
        <v>2377</v>
      </c>
      <c r="B84" s="116" t="s">
        <v>2700</v>
      </c>
      <c r="C84" s="112">
        <v>2</v>
      </c>
      <c r="D84" s="115">
        <v>0.0012525217982988267</v>
      </c>
      <c r="E84" s="115">
        <v>1.4232094535852495</v>
      </c>
      <c r="F84" s="112" t="b">
        <v>0</v>
      </c>
      <c r="G84" s="112" t="b">
        <v>0</v>
      </c>
      <c r="H84" s="112" t="b">
        <v>0</v>
      </c>
      <c r="I84" s="112" t="b">
        <v>0</v>
      </c>
      <c r="J84" s="112" t="b">
        <v>0</v>
      </c>
      <c r="K84" s="112" t="b">
        <v>0</v>
      </c>
      <c r="L84" s="112" t="s">
        <v>3521</v>
      </c>
    </row>
    <row r="85" spans="1:12" ht="15">
      <c r="A85" s="114" t="s">
        <v>2853</v>
      </c>
      <c r="B85" s="116" t="s">
        <v>2377</v>
      </c>
      <c r="C85" s="112">
        <v>2</v>
      </c>
      <c r="D85" s="115">
        <v>0.0012525217982988267</v>
      </c>
      <c r="E85" s="115">
        <v>1.645058203201606</v>
      </c>
      <c r="F85" s="112" t="b">
        <v>0</v>
      </c>
      <c r="G85" s="112" t="b">
        <v>0</v>
      </c>
      <c r="H85" s="112" t="b">
        <v>0</v>
      </c>
      <c r="I85" s="112" t="b">
        <v>0</v>
      </c>
      <c r="J85" s="112" t="b">
        <v>0</v>
      </c>
      <c r="K85" s="112" t="b">
        <v>0</v>
      </c>
      <c r="L85" s="112" t="s">
        <v>3521</v>
      </c>
    </row>
    <row r="86" spans="1:12" ht="15">
      <c r="A86" s="114" t="s">
        <v>2832</v>
      </c>
      <c r="B86" s="116" t="s">
        <v>2660</v>
      </c>
      <c r="C86" s="112">
        <v>2</v>
      </c>
      <c r="D86" s="115">
        <v>0.0014420872867522152</v>
      </c>
      <c r="E86" s="115">
        <v>2.2982707169769494</v>
      </c>
      <c r="F86" s="112" t="b">
        <v>0</v>
      </c>
      <c r="G86" s="112" t="b">
        <v>0</v>
      </c>
      <c r="H86" s="112" t="b">
        <v>0</v>
      </c>
      <c r="I86" s="112" t="b">
        <v>0</v>
      </c>
      <c r="J86" s="112" t="b">
        <v>0</v>
      </c>
      <c r="K86" s="112" t="b">
        <v>0</v>
      </c>
      <c r="L86" s="112" t="s">
        <v>3521</v>
      </c>
    </row>
    <row r="87" spans="1:12" ht="15">
      <c r="A87" s="114" t="s">
        <v>2687</v>
      </c>
      <c r="B87" s="116" t="s">
        <v>2924</v>
      </c>
      <c r="C87" s="112">
        <v>2</v>
      </c>
      <c r="D87" s="115">
        <v>0.0012525217982988267</v>
      </c>
      <c r="E87" s="115">
        <v>2.629263936018374</v>
      </c>
      <c r="F87" s="112" t="b">
        <v>1</v>
      </c>
      <c r="G87" s="112" t="b">
        <v>0</v>
      </c>
      <c r="H87" s="112" t="b">
        <v>0</v>
      </c>
      <c r="I87" s="112" t="b">
        <v>0</v>
      </c>
      <c r="J87" s="112" t="b">
        <v>1</v>
      </c>
      <c r="K87" s="112" t="b">
        <v>0</v>
      </c>
      <c r="L87" s="112" t="s">
        <v>3521</v>
      </c>
    </row>
    <row r="88" spans="1:12" ht="15">
      <c r="A88" s="114" t="s">
        <v>2638</v>
      </c>
      <c r="B88" s="116" t="s">
        <v>2655</v>
      </c>
      <c r="C88" s="112">
        <v>2</v>
      </c>
      <c r="D88" s="115">
        <v>0.0014420872867522152</v>
      </c>
      <c r="E88" s="115">
        <v>1.455245685585558</v>
      </c>
      <c r="F88" s="112" t="b">
        <v>0</v>
      </c>
      <c r="G88" s="112" t="b">
        <v>0</v>
      </c>
      <c r="H88" s="112" t="b">
        <v>0</v>
      </c>
      <c r="I88" s="112" t="b">
        <v>0</v>
      </c>
      <c r="J88" s="112" t="b">
        <v>0</v>
      </c>
      <c r="K88" s="112" t="b">
        <v>0</v>
      </c>
      <c r="L88" s="112" t="s">
        <v>3521</v>
      </c>
    </row>
    <row r="89" spans="1:12" ht="15">
      <c r="A89" s="114" t="s">
        <v>2661</v>
      </c>
      <c r="B89" s="116" t="s">
        <v>2676</v>
      </c>
      <c r="C89" s="112">
        <v>2</v>
      </c>
      <c r="D89" s="115">
        <v>0.0012525217982988267</v>
      </c>
      <c r="E89" s="115">
        <v>2.2190894709293247</v>
      </c>
      <c r="F89" s="112" t="b">
        <v>1</v>
      </c>
      <c r="G89" s="112" t="b">
        <v>0</v>
      </c>
      <c r="H89" s="112" t="b">
        <v>0</v>
      </c>
      <c r="I89" s="112" t="b">
        <v>0</v>
      </c>
      <c r="J89" s="112" t="b">
        <v>0</v>
      </c>
      <c r="K89" s="112" t="b">
        <v>0</v>
      </c>
      <c r="L89" s="112" t="s">
        <v>3521</v>
      </c>
    </row>
    <row r="90" spans="1:12" ht="15">
      <c r="A90" s="114" t="s">
        <v>2378</v>
      </c>
      <c r="B90" s="116" t="s">
        <v>2990</v>
      </c>
      <c r="C90" s="112">
        <v>2</v>
      </c>
      <c r="D90" s="115">
        <v>0.0014420872867522152</v>
      </c>
      <c r="E90" s="115">
        <v>2.1126341400150377</v>
      </c>
      <c r="F90" s="112" t="b">
        <v>0</v>
      </c>
      <c r="G90" s="112" t="b">
        <v>0</v>
      </c>
      <c r="H90" s="112" t="b">
        <v>0</v>
      </c>
      <c r="I90" s="112" t="b">
        <v>0</v>
      </c>
      <c r="J90" s="112" t="b">
        <v>0</v>
      </c>
      <c r="K90" s="112" t="b">
        <v>0</v>
      </c>
      <c r="L90" s="112" t="s">
        <v>3521</v>
      </c>
    </row>
    <row r="91" spans="1:12" ht="15">
      <c r="A91" s="114" t="s">
        <v>3023</v>
      </c>
      <c r="B91" s="116" t="s">
        <v>2381</v>
      </c>
      <c r="C91" s="112">
        <v>2</v>
      </c>
      <c r="D91" s="115">
        <v>0.0012525217982988267</v>
      </c>
      <c r="E91" s="115">
        <v>2.195608375079802</v>
      </c>
      <c r="F91" s="112" t="b">
        <v>0</v>
      </c>
      <c r="G91" s="112" t="b">
        <v>0</v>
      </c>
      <c r="H91" s="112" t="b">
        <v>0</v>
      </c>
      <c r="I91" s="112" t="b">
        <v>0</v>
      </c>
      <c r="J91" s="112" t="b">
        <v>0</v>
      </c>
      <c r="K91" s="112" t="b">
        <v>0</v>
      </c>
      <c r="L91" s="112" t="s">
        <v>3521</v>
      </c>
    </row>
    <row r="92" spans="1:12" ht="15">
      <c r="A92" s="114" t="s">
        <v>2638</v>
      </c>
      <c r="B92" s="116" t="s">
        <v>2644</v>
      </c>
      <c r="C92" s="112">
        <v>2</v>
      </c>
      <c r="D92" s="115">
        <v>0.0012525217982988267</v>
      </c>
      <c r="E92" s="115">
        <v>1.350510335065545</v>
      </c>
      <c r="F92" s="112" t="b">
        <v>0</v>
      </c>
      <c r="G92" s="112" t="b">
        <v>0</v>
      </c>
      <c r="H92" s="112" t="b">
        <v>0</v>
      </c>
      <c r="I92" s="112" t="b">
        <v>0</v>
      </c>
      <c r="J92" s="112" t="b">
        <v>0</v>
      </c>
      <c r="K92" s="112" t="b">
        <v>0</v>
      </c>
      <c r="L92" s="112" t="s">
        <v>3521</v>
      </c>
    </row>
    <row r="93" spans="1:12" ht="15">
      <c r="A93" s="114" t="s">
        <v>2638</v>
      </c>
      <c r="B93" s="116" t="s">
        <v>2377</v>
      </c>
      <c r="C93" s="112">
        <v>2</v>
      </c>
      <c r="D93" s="115">
        <v>0.0012525217982988267</v>
      </c>
      <c r="E93" s="115">
        <v>0.8434258569684393</v>
      </c>
      <c r="F93" s="112" t="b">
        <v>0</v>
      </c>
      <c r="G93" s="112" t="b">
        <v>0</v>
      </c>
      <c r="H93" s="112" t="b">
        <v>0</v>
      </c>
      <c r="I93" s="112" t="b">
        <v>0</v>
      </c>
      <c r="J93" s="112" t="b">
        <v>0</v>
      </c>
      <c r="K93" s="112" t="b">
        <v>0</v>
      </c>
      <c r="L93" s="112" t="s">
        <v>3521</v>
      </c>
    </row>
    <row r="94" spans="1:12" ht="15">
      <c r="A94" s="114" t="s">
        <v>2748</v>
      </c>
      <c r="B94" s="116" t="s">
        <v>2826</v>
      </c>
      <c r="C94" s="112">
        <v>2</v>
      </c>
      <c r="D94" s="115">
        <v>0.0012525217982988267</v>
      </c>
      <c r="E94" s="115">
        <v>2.6962107256489873</v>
      </c>
      <c r="F94" s="112" t="b">
        <v>1</v>
      </c>
      <c r="G94" s="112" t="b">
        <v>0</v>
      </c>
      <c r="H94" s="112" t="b">
        <v>0</v>
      </c>
      <c r="I94" s="112" t="b">
        <v>0</v>
      </c>
      <c r="J94" s="112" t="b">
        <v>0</v>
      </c>
      <c r="K94" s="112" t="b">
        <v>0</v>
      </c>
      <c r="L94" s="112" t="s">
        <v>3521</v>
      </c>
    </row>
    <row r="95" spans="1:12" ht="15">
      <c r="A95" s="114" t="s">
        <v>2685</v>
      </c>
      <c r="B95" s="116" t="s">
        <v>2376</v>
      </c>
      <c r="C95" s="112">
        <v>2</v>
      </c>
      <c r="D95" s="115">
        <v>0.0012525217982988267</v>
      </c>
      <c r="E95" s="115">
        <v>1.1979001718593867</v>
      </c>
      <c r="F95" s="112" t="b">
        <v>0</v>
      </c>
      <c r="G95" s="112" t="b">
        <v>0</v>
      </c>
      <c r="H95" s="112" t="b">
        <v>0</v>
      </c>
      <c r="I95" s="112" t="b">
        <v>0</v>
      </c>
      <c r="J95" s="112" t="b">
        <v>0</v>
      </c>
      <c r="K95" s="112" t="b">
        <v>0</v>
      </c>
      <c r="L95" s="112" t="s">
        <v>3521</v>
      </c>
    </row>
    <row r="96" spans="1:12" ht="15">
      <c r="A96" s="114" t="s">
        <v>2656</v>
      </c>
      <c r="B96" s="116" t="s">
        <v>2644</v>
      </c>
      <c r="C96" s="112">
        <v>2</v>
      </c>
      <c r="D96" s="115">
        <v>0.0012525217982988267</v>
      </c>
      <c r="E96" s="115">
        <v>1.7261739490264303</v>
      </c>
      <c r="F96" s="112" t="b">
        <v>0</v>
      </c>
      <c r="G96" s="112" t="b">
        <v>0</v>
      </c>
      <c r="H96" s="112" t="b">
        <v>0</v>
      </c>
      <c r="I96" s="112" t="b">
        <v>0</v>
      </c>
      <c r="J96" s="112" t="b">
        <v>0</v>
      </c>
      <c r="K96" s="112" t="b">
        <v>0</v>
      </c>
      <c r="L96" s="112" t="s">
        <v>3521</v>
      </c>
    </row>
    <row r="97" spans="1:12" ht="15">
      <c r="A97" s="114" t="s">
        <v>2891</v>
      </c>
      <c r="B97" s="116" t="s">
        <v>2659</v>
      </c>
      <c r="C97" s="112">
        <v>2</v>
      </c>
      <c r="D97" s="115">
        <v>0.0012525217982988267</v>
      </c>
      <c r="E97" s="115">
        <v>2.520119466593306</v>
      </c>
      <c r="F97" s="112" t="b">
        <v>0</v>
      </c>
      <c r="G97" s="112" t="b">
        <v>0</v>
      </c>
      <c r="H97" s="112" t="b">
        <v>0</v>
      </c>
      <c r="I97" s="112" t="b">
        <v>0</v>
      </c>
      <c r="J97" s="112" t="b">
        <v>0</v>
      </c>
      <c r="K97" s="112" t="b">
        <v>0</v>
      </c>
      <c r="L97" s="112" t="s">
        <v>3521</v>
      </c>
    </row>
    <row r="98" spans="1:12" ht="15">
      <c r="A98" s="114" t="s">
        <v>2374</v>
      </c>
      <c r="B98" s="116" t="s">
        <v>2693</v>
      </c>
      <c r="C98" s="112">
        <v>2</v>
      </c>
      <c r="D98" s="115">
        <v>0.0012525217982988267</v>
      </c>
      <c r="E98" s="115">
        <v>1.3220736316495743</v>
      </c>
      <c r="F98" s="112" t="b">
        <v>1</v>
      </c>
      <c r="G98" s="112" t="b">
        <v>0</v>
      </c>
      <c r="H98" s="112" t="b">
        <v>0</v>
      </c>
      <c r="I98" s="112" t="b">
        <v>0</v>
      </c>
      <c r="J98" s="112" t="b">
        <v>0</v>
      </c>
      <c r="K98" s="112" t="b">
        <v>0</v>
      </c>
      <c r="L98" s="112" t="s">
        <v>3521</v>
      </c>
    </row>
    <row r="99" spans="1:12" ht="15">
      <c r="A99" s="114" t="s">
        <v>377</v>
      </c>
      <c r="B99" s="116" t="s">
        <v>268</v>
      </c>
      <c r="C99" s="112">
        <v>2</v>
      </c>
      <c r="D99" s="115">
        <v>0.0012525217982988267</v>
      </c>
      <c r="E99" s="115">
        <v>2.8723019847046682</v>
      </c>
      <c r="F99" s="112" t="b">
        <v>0</v>
      </c>
      <c r="G99" s="112" t="b">
        <v>0</v>
      </c>
      <c r="H99" s="112" t="b">
        <v>0</v>
      </c>
      <c r="I99" s="112" t="b">
        <v>0</v>
      </c>
      <c r="J99" s="112" t="b">
        <v>0</v>
      </c>
      <c r="K99" s="112" t="b">
        <v>0</v>
      </c>
      <c r="L99" s="112" t="s">
        <v>3521</v>
      </c>
    </row>
    <row r="100" spans="1:12" ht="15">
      <c r="A100" s="114" t="s">
        <v>2900</v>
      </c>
      <c r="B100" s="116" t="s">
        <v>2959</v>
      </c>
      <c r="C100" s="112">
        <v>2</v>
      </c>
      <c r="D100" s="115">
        <v>0.0012525217982988267</v>
      </c>
      <c r="E100" s="115">
        <v>3.1733319803686495</v>
      </c>
      <c r="F100" s="112" t="b">
        <v>0</v>
      </c>
      <c r="G100" s="112" t="b">
        <v>0</v>
      </c>
      <c r="H100" s="112" t="b">
        <v>0</v>
      </c>
      <c r="I100" s="112" t="b">
        <v>0</v>
      </c>
      <c r="J100" s="112" t="b">
        <v>0</v>
      </c>
      <c r="K100" s="112" t="b">
        <v>0</v>
      </c>
      <c r="L100" s="112" t="s">
        <v>3521</v>
      </c>
    </row>
    <row r="101" spans="1:12" ht="15">
      <c r="A101" s="114" t="s">
        <v>2983</v>
      </c>
      <c r="B101" s="116" t="s">
        <v>2922</v>
      </c>
      <c r="C101" s="112">
        <v>2</v>
      </c>
      <c r="D101" s="115">
        <v>0.0012525217982988267</v>
      </c>
      <c r="E101" s="115">
        <v>3.1733319803686495</v>
      </c>
      <c r="F101" s="112" t="b">
        <v>0</v>
      </c>
      <c r="G101" s="112" t="b">
        <v>0</v>
      </c>
      <c r="H101" s="112" t="b">
        <v>0</v>
      </c>
      <c r="I101" s="112" t="b">
        <v>0</v>
      </c>
      <c r="J101" s="112" t="b">
        <v>1</v>
      </c>
      <c r="K101" s="112" t="b">
        <v>0</v>
      </c>
      <c r="L101" s="112" t="s">
        <v>3521</v>
      </c>
    </row>
    <row r="102" spans="1:12" ht="15">
      <c r="A102" s="114" t="s">
        <v>318</v>
      </c>
      <c r="B102" s="116" t="s">
        <v>681</v>
      </c>
      <c r="C102" s="112">
        <v>2</v>
      </c>
      <c r="D102" s="115">
        <v>0.0012525217982988267</v>
      </c>
      <c r="E102" s="115">
        <v>0.7211620618332149</v>
      </c>
      <c r="F102" s="112" t="b">
        <v>0</v>
      </c>
      <c r="G102" s="112" t="b">
        <v>0</v>
      </c>
      <c r="H102" s="112" t="b">
        <v>0</v>
      </c>
      <c r="I102" s="112" t="b">
        <v>1</v>
      </c>
      <c r="J102" s="112" t="b">
        <v>0</v>
      </c>
      <c r="K102" s="112" t="b">
        <v>0</v>
      </c>
      <c r="L102" s="112" t="s">
        <v>3521</v>
      </c>
    </row>
    <row r="103" spans="1:12" ht="15">
      <c r="A103" s="114" t="s">
        <v>2824</v>
      </c>
      <c r="B103" s="116" t="s">
        <v>357</v>
      </c>
      <c r="C103" s="112">
        <v>2</v>
      </c>
      <c r="D103" s="115">
        <v>0.0012525217982988267</v>
      </c>
      <c r="E103" s="115">
        <v>3.1733319803686495</v>
      </c>
      <c r="F103" s="112" t="b">
        <v>0</v>
      </c>
      <c r="G103" s="112" t="b">
        <v>0</v>
      </c>
      <c r="H103" s="112" t="b">
        <v>0</v>
      </c>
      <c r="I103" s="112" t="b">
        <v>0</v>
      </c>
      <c r="J103" s="112" t="b">
        <v>0</v>
      </c>
      <c r="K103" s="112" t="b">
        <v>0</v>
      </c>
      <c r="L103" s="112" t="s">
        <v>3521</v>
      </c>
    </row>
    <row r="104" spans="1:12" ht="15">
      <c r="A104" s="114" t="s">
        <v>2377</v>
      </c>
      <c r="B104" s="116" t="s">
        <v>2725</v>
      </c>
      <c r="C104" s="112">
        <v>2</v>
      </c>
      <c r="D104" s="115">
        <v>0.0014420872867522152</v>
      </c>
      <c r="E104" s="115">
        <v>1.4232094535852495</v>
      </c>
      <c r="F104" s="112" t="b">
        <v>0</v>
      </c>
      <c r="G104" s="112" t="b">
        <v>0</v>
      </c>
      <c r="H104" s="112" t="b">
        <v>0</v>
      </c>
      <c r="I104" s="112" t="b">
        <v>0</v>
      </c>
      <c r="J104" s="112" t="b">
        <v>0</v>
      </c>
      <c r="K104" s="112" t="b">
        <v>0</v>
      </c>
      <c r="L104" s="112" t="s">
        <v>3521</v>
      </c>
    </row>
    <row r="105" spans="1:12" ht="15">
      <c r="A105" s="114" t="s">
        <v>681</v>
      </c>
      <c r="B105" s="116" t="s">
        <v>2645</v>
      </c>
      <c r="C105" s="112">
        <v>2</v>
      </c>
      <c r="D105" s="115">
        <v>0.0012525217982988267</v>
      </c>
      <c r="E105" s="115">
        <v>0.4709014439231243</v>
      </c>
      <c r="F105" s="112" t="b">
        <v>1</v>
      </c>
      <c r="G105" s="112" t="b">
        <v>0</v>
      </c>
      <c r="H105" s="112" t="b">
        <v>0</v>
      </c>
      <c r="I105" s="112" t="b">
        <v>0</v>
      </c>
      <c r="J105" s="112" t="b">
        <v>0</v>
      </c>
      <c r="K105" s="112" t="b">
        <v>0</v>
      </c>
      <c r="L105" s="112" t="s">
        <v>3521</v>
      </c>
    </row>
    <row r="106" spans="1:12" ht="15">
      <c r="A106" s="114" t="s">
        <v>2791</v>
      </c>
      <c r="B106" s="116" t="s">
        <v>2787</v>
      </c>
      <c r="C106" s="112">
        <v>2</v>
      </c>
      <c r="D106" s="115">
        <v>0.0012525217982988267</v>
      </c>
      <c r="E106" s="115">
        <v>2.8211494622572872</v>
      </c>
      <c r="F106" s="112" t="b">
        <v>0</v>
      </c>
      <c r="G106" s="112" t="b">
        <v>1</v>
      </c>
      <c r="H106" s="112" t="b">
        <v>0</v>
      </c>
      <c r="I106" s="112" t="b">
        <v>0</v>
      </c>
      <c r="J106" s="112" t="b">
        <v>0</v>
      </c>
      <c r="K106" s="112" t="b">
        <v>0</v>
      </c>
      <c r="L106" s="112" t="s">
        <v>3521</v>
      </c>
    </row>
    <row r="107" spans="1:12" ht="15">
      <c r="A107" s="114" t="s">
        <v>2646</v>
      </c>
      <c r="B107" s="116" t="s">
        <v>2979</v>
      </c>
      <c r="C107" s="112">
        <v>2</v>
      </c>
      <c r="D107" s="115">
        <v>0.0012525217982988267</v>
      </c>
      <c r="E107" s="115">
        <v>2.395180729985006</v>
      </c>
      <c r="F107" s="112" t="b">
        <v>0</v>
      </c>
      <c r="G107" s="112" t="b">
        <v>0</v>
      </c>
      <c r="H107" s="112" t="b">
        <v>0</v>
      </c>
      <c r="I107" s="112" t="b">
        <v>0</v>
      </c>
      <c r="J107" s="112" t="b">
        <v>1</v>
      </c>
      <c r="K107" s="112" t="b">
        <v>0</v>
      </c>
      <c r="L107" s="112" t="s">
        <v>3521</v>
      </c>
    </row>
    <row r="108" spans="1:12" ht="15">
      <c r="A108" s="114" t="s">
        <v>2826</v>
      </c>
      <c r="B108" s="116" t="s">
        <v>681</v>
      </c>
      <c r="C108" s="112">
        <v>2</v>
      </c>
      <c r="D108" s="115">
        <v>0.0012525217982988267</v>
      </c>
      <c r="E108" s="115">
        <v>1.2854334922717774</v>
      </c>
      <c r="F108" s="112" t="b">
        <v>0</v>
      </c>
      <c r="G108" s="112" t="b">
        <v>0</v>
      </c>
      <c r="H108" s="112" t="b">
        <v>0</v>
      </c>
      <c r="I108" s="112" t="b">
        <v>1</v>
      </c>
      <c r="J108" s="112" t="b">
        <v>0</v>
      </c>
      <c r="K108" s="112" t="b">
        <v>0</v>
      </c>
      <c r="L108" s="112" t="s">
        <v>3521</v>
      </c>
    </row>
    <row r="109" spans="1:12" ht="15">
      <c r="A109" s="114" t="s">
        <v>2376</v>
      </c>
      <c r="B109" s="116" t="s">
        <v>2373</v>
      </c>
      <c r="C109" s="112">
        <v>2</v>
      </c>
      <c r="D109" s="115">
        <v>0.0012525217982988267</v>
      </c>
      <c r="E109" s="115">
        <v>-0.07921766639918326</v>
      </c>
      <c r="F109" s="112" t="b">
        <v>0</v>
      </c>
      <c r="G109" s="112" t="b">
        <v>0</v>
      </c>
      <c r="H109" s="112" t="b">
        <v>0</v>
      </c>
      <c r="I109" s="112" t="b">
        <v>1</v>
      </c>
      <c r="J109" s="112" t="b">
        <v>0</v>
      </c>
      <c r="K109" s="112" t="b">
        <v>0</v>
      </c>
      <c r="L109" s="112" t="s">
        <v>3521</v>
      </c>
    </row>
    <row r="110" spans="1:12" ht="15">
      <c r="A110" s="114" t="s">
        <v>2662</v>
      </c>
      <c r="B110" s="116" t="s">
        <v>2375</v>
      </c>
      <c r="C110" s="112">
        <v>2</v>
      </c>
      <c r="D110" s="115">
        <v>0.0012525217982988267</v>
      </c>
      <c r="E110" s="115">
        <v>1.4043241094248757</v>
      </c>
      <c r="F110" s="112" t="b">
        <v>0</v>
      </c>
      <c r="G110" s="112" t="b">
        <v>0</v>
      </c>
      <c r="H110" s="112" t="b">
        <v>0</v>
      </c>
      <c r="I110" s="112" t="b">
        <v>1</v>
      </c>
      <c r="J110" s="112" t="b">
        <v>0</v>
      </c>
      <c r="K110" s="112" t="b">
        <v>0</v>
      </c>
      <c r="L110" s="112" t="s">
        <v>3521</v>
      </c>
    </row>
    <row r="111" spans="1:12" ht="15">
      <c r="A111" s="114" t="s">
        <v>2830</v>
      </c>
      <c r="B111" s="116" t="s">
        <v>2652</v>
      </c>
      <c r="C111" s="112">
        <v>2</v>
      </c>
      <c r="D111" s="115">
        <v>0.0012525217982988267</v>
      </c>
      <c r="E111" s="115">
        <v>2.2568780318187245</v>
      </c>
      <c r="F111" s="112" t="b">
        <v>0</v>
      </c>
      <c r="G111" s="112" t="b">
        <v>0</v>
      </c>
      <c r="H111" s="112" t="b">
        <v>0</v>
      </c>
      <c r="I111" s="112" t="b">
        <v>0</v>
      </c>
      <c r="J111" s="112" t="b">
        <v>0</v>
      </c>
      <c r="K111" s="112" t="b">
        <v>0</v>
      </c>
      <c r="L111" s="112" t="s">
        <v>3521</v>
      </c>
    </row>
    <row r="112" spans="1:12" ht="15">
      <c r="A112" s="114" t="s">
        <v>2846</v>
      </c>
      <c r="B112" s="116" t="s">
        <v>2373</v>
      </c>
      <c r="C112" s="112">
        <v>2</v>
      </c>
      <c r="D112" s="115">
        <v>0.0012525217982988267</v>
      </c>
      <c r="E112" s="115">
        <v>1.1679369484819435</v>
      </c>
      <c r="F112" s="112" t="b">
        <v>0</v>
      </c>
      <c r="G112" s="112" t="b">
        <v>1</v>
      </c>
      <c r="H112" s="112" t="b">
        <v>0</v>
      </c>
      <c r="I112" s="112" t="b">
        <v>1</v>
      </c>
      <c r="J112" s="112" t="b">
        <v>0</v>
      </c>
      <c r="K112" s="112" t="b">
        <v>0</v>
      </c>
      <c r="L112" s="112" t="s">
        <v>3521</v>
      </c>
    </row>
    <row r="113" spans="1:12" ht="15">
      <c r="A113" s="114" t="s">
        <v>338</v>
      </c>
      <c r="B113" s="116" t="s">
        <v>681</v>
      </c>
      <c r="C113" s="112">
        <v>2</v>
      </c>
      <c r="D113" s="115">
        <v>0.0012525217982988267</v>
      </c>
      <c r="E113" s="115">
        <v>1.1604947556634775</v>
      </c>
      <c r="F113" s="112" t="b">
        <v>0</v>
      </c>
      <c r="G113" s="112" t="b">
        <v>0</v>
      </c>
      <c r="H113" s="112" t="b">
        <v>0</v>
      </c>
      <c r="I113" s="112" t="b">
        <v>1</v>
      </c>
      <c r="J113" s="112" t="b">
        <v>0</v>
      </c>
      <c r="K113" s="112" t="b">
        <v>0</v>
      </c>
      <c r="L113" s="112" t="s">
        <v>3521</v>
      </c>
    </row>
    <row r="114" spans="1:12" ht="15">
      <c r="A114" s="114" t="s">
        <v>2735</v>
      </c>
      <c r="B114" s="116" t="s">
        <v>2664</v>
      </c>
      <c r="C114" s="112">
        <v>2</v>
      </c>
      <c r="D114" s="115">
        <v>0.0014420872867522152</v>
      </c>
      <c r="E114" s="115">
        <v>2.3282339403543926</v>
      </c>
      <c r="F114" s="112" t="b">
        <v>0</v>
      </c>
      <c r="G114" s="112" t="b">
        <v>0</v>
      </c>
      <c r="H114" s="112" t="b">
        <v>0</v>
      </c>
      <c r="I114" s="112" t="b">
        <v>0</v>
      </c>
      <c r="J114" s="112" t="b">
        <v>0</v>
      </c>
      <c r="K114" s="112" t="b">
        <v>0</v>
      </c>
      <c r="L114" s="112" t="s">
        <v>3521</v>
      </c>
    </row>
    <row r="115" spans="1:12" ht="15">
      <c r="A115" s="114" t="s">
        <v>2660</v>
      </c>
      <c r="B115" s="116" t="s">
        <v>2687</v>
      </c>
      <c r="C115" s="112">
        <v>2</v>
      </c>
      <c r="D115" s="115">
        <v>0.0012525217982988267</v>
      </c>
      <c r="E115" s="115">
        <v>1.9302939316823553</v>
      </c>
      <c r="F115" s="112" t="b">
        <v>0</v>
      </c>
      <c r="G115" s="112" t="b">
        <v>0</v>
      </c>
      <c r="H115" s="112" t="b">
        <v>0</v>
      </c>
      <c r="I115" s="112" t="b">
        <v>1</v>
      </c>
      <c r="J115" s="112" t="b">
        <v>0</v>
      </c>
      <c r="K115" s="112" t="b">
        <v>0</v>
      </c>
      <c r="L115" s="112" t="s">
        <v>3521</v>
      </c>
    </row>
    <row r="116" spans="1:12" ht="15">
      <c r="A116" s="114" t="s">
        <v>2637</v>
      </c>
      <c r="B116" s="116" t="s">
        <v>2652</v>
      </c>
      <c r="C116" s="112">
        <v>2</v>
      </c>
      <c r="D116" s="115">
        <v>0.0012525217982988267</v>
      </c>
      <c r="E116" s="115">
        <v>1.587871250860149</v>
      </c>
      <c r="F116" s="112" t="b">
        <v>0</v>
      </c>
      <c r="G116" s="112" t="b">
        <v>0</v>
      </c>
      <c r="H116" s="112" t="b">
        <v>0</v>
      </c>
      <c r="I116" s="112" t="b">
        <v>0</v>
      </c>
      <c r="J116" s="112" t="b">
        <v>0</v>
      </c>
      <c r="K116" s="112" t="b">
        <v>0</v>
      </c>
      <c r="L116" s="112" t="s">
        <v>3521</v>
      </c>
    </row>
    <row r="117" spans="1:12" ht="15">
      <c r="A117" s="114" t="s">
        <v>3022</v>
      </c>
      <c r="B117" s="116" t="s">
        <v>2658</v>
      </c>
      <c r="C117" s="112">
        <v>2</v>
      </c>
      <c r="D117" s="115">
        <v>0.0012525217982988267</v>
      </c>
      <c r="E117" s="115">
        <v>2.4743619760326307</v>
      </c>
      <c r="F117" s="112" t="b">
        <v>0</v>
      </c>
      <c r="G117" s="112" t="b">
        <v>0</v>
      </c>
      <c r="H117" s="112" t="b">
        <v>0</v>
      </c>
      <c r="I117" s="112" t="b">
        <v>0</v>
      </c>
      <c r="J117" s="112" t="b">
        <v>0</v>
      </c>
      <c r="K117" s="112" t="b">
        <v>0</v>
      </c>
      <c r="L117" s="112" t="s">
        <v>3521</v>
      </c>
    </row>
    <row r="118" spans="1:12" ht="15">
      <c r="A118" s="114" t="s">
        <v>2715</v>
      </c>
      <c r="B118" s="116" t="s">
        <v>2380</v>
      </c>
      <c r="C118" s="112">
        <v>2</v>
      </c>
      <c r="D118" s="115">
        <v>0.0012525217982988267</v>
      </c>
      <c r="E118" s="115">
        <v>1.6962107256489871</v>
      </c>
      <c r="F118" s="112" t="b">
        <v>1</v>
      </c>
      <c r="G118" s="112" t="b">
        <v>0</v>
      </c>
      <c r="H118" s="112" t="b">
        <v>0</v>
      </c>
      <c r="I118" s="112" t="b">
        <v>0</v>
      </c>
      <c r="J118" s="112" t="b">
        <v>0</v>
      </c>
      <c r="K118" s="112" t="b">
        <v>0</v>
      </c>
      <c r="L118" s="112" t="s">
        <v>3521</v>
      </c>
    </row>
    <row r="119" spans="1:12" ht="15">
      <c r="A119" s="114" t="s">
        <v>2752</v>
      </c>
      <c r="B119" s="116" t="s">
        <v>2983</v>
      </c>
      <c r="C119" s="112">
        <v>2</v>
      </c>
      <c r="D119" s="115">
        <v>0.0012525217982988267</v>
      </c>
      <c r="E119" s="115">
        <v>2.8723019847046682</v>
      </c>
      <c r="F119" s="112" t="b">
        <v>0</v>
      </c>
      <c r="G119" s="112" t="b">
        <v>0</v>
      </c>
      <c r="H119" s="112" t="b">
        <v>0</v>
      </c>
      <c r="I119" s="112" t="b">
        <v>0</v>
      </c>
      <c r="J119" s="112" t="b">
        <v>0</v>
      </c>
      <c r="K119" s="112" t="b">
        <v>0</v>
      </c>
      <c r="L119" s="112" t="s">
        <v>3521</v>
      </c>
    </row>
    <row r="120" spans="1:12" ht="15">
      <c r="A120" s="114" t="s">
        <v>2909</v>
      </c>
      <c r="B120" s="116" t="s">
        <v>2701</v>
      </c>
      <c r="C120" s="112">
        <v>2</v>
      </c>
      <c r="D120" s="115">
        <v>0.0012525217982988267</v>
      </c>
      <c r="E120" s="115">
        <v>2.6962107256489873</v>
      </c>
      <c r="F120" s="112" t="b">
        <v>0</v>
      </c>
      <c r="G120" s="112" t="b">
        <v>0</v>
      </c>
      <c r="H120" s="112" t="b">
        <v>0</v>
      </c>
      <c r="I120" s="112" t="b">
        <v>0</v>
      </c>
      <c r="J120" s="112" t="b">
        <v>0</v>
      </c>
      <c r="K120" s="112" t="b">
        <v>0</v>
      </c>
      <c r="L120" s="112" t="s">
        <v>3521</v>
      </c>
    </row>
    <row r="121" spans="1:12" ht="15">
      <c r="A121" s="114" t="s">
        <v>2783</v>
      </c>
      <c r="B121" s="116" t="s">
        <v>2655</v>
      </c>
      <c r="C121" s="112">
        <v>2</v>
      </c>
      <c r="D121" s="115">
        <v>0.0012525217982988267</v>
      </c>
      <c r="E121" s="115">
        <v>2.2568780318187245</v>
      </c>
      <c r="F121" s="112" t="b">
        <v>0</v>
      </c>
      <c r="G121" s="112" t="b">
        <v>1</v>
      </c>
      <c r="H121" s="112" t="b">
        <v>0</v>
      </c>
      <c r="I121" s="112" t="b">
        <v>0</v>
      </c>
      <c r="J121" s="112" t="b">
        <v>0</v>
      </c>
      <c r="K121" s="112" t="b">
        <v>0</v>
      </c>
      <c r="L121" s="112" t="s">
        <v>3521</v>
      </c>
    </row>
    <row r="122" spans="1:12" ht="15">
      <c r="A122" s="114" t="s">
        <v>2639</v>
      </c>
      <c r="B122" s="116" t="s">
        <v>2674</v>
      </c>
      <c r="C122" s="112">
        <v>2</v>
      </c>
      <c r="D122" s="115">
        <v>0.0014420872867522152</v>
      </c>
      <c r="E122" s="115">
        <v>1.8211494622572872</v>
      </c>
      <c r="F122" s="112" t="b">
        <v>0</v>
      </c>
      <c r="G122" s="112" t="b">
        <v>0</v>
      </c>
      <c r="H122" s="112" t="b">
        <v>0</v>
      </c>
      <c r="I122" s="112" t="b">
        <v>0</v>
      </c>
      <c r="J122" s="112" t="b">
        <v>0</v>
      </c>
      <c r="K122" s="112" t="b">
        <v>0</v>
      </c>
      <c r="L122" s="112" t="s">
        <v>3521</v>
      </c>
    </row>
    <row r="123" spans="1:12" ht="15">
      <c r="A123" s="114" t="s">
        <v>2977</v>
      </c>
      <c r="B123" s="116" t="s">
        <v>3028</v>
      </c>
      <c r="C123" s="112">
        <v>2</v>
      </c>
      <c r="D123" s="115">
        <v>0.0012525217982988267</v>
      </c>
      <c r="E123" s="115">
        <v>3.1733319803686495</v>
      </c>
      <c r="F123" s="112" t="b">
        <v>0</v>
      </c>
      <c r="G123" s="112" t="b">
        <v>0</v>
      </c>
      <c r="H123" s="112" t="b">
        <v>0</v>
      </c>
      <c r="I123" s="112" t="b">
        <v>1</v>
      </c>
      <c r="J123" s="112" t="b">
        <v>0</v>
      </c>
      <c r="K123" s="112" t="b">
        <v>0</v>
      </c>
      <c r="L123" s="112" t="s">
        <v>3521</v>
      </c>
    </row>
    <row r="124" spans="1:12" ht="15">
      <c r="A124" s="114" t="s">
        <v>2726</v>
      </c>
      <c r="B124" s="116" t="s">
        <v>2375</v>
      </c>
      <c r="C124" s="112">
        <v>2</v>
      </c>
      <c r="D124" s="115">
        <v>0.0012525217982988267</v>
      </c>
      <c r="E124" s="115">
        <v>1.5012341224329322</v>
      </c>
      <c r="F124" s="112" t="b">
        <v>0</v>
      </c>
      <c r="G124" s="112" t="b">
        <v>0</v>
      </c>
      <c r="H124" s="112" t="b">
        <v>0</v>
      </c>
      <c r="I124" s="112" t="b">
        <v>1</v>
      </c>
      <c r="J124" s="112" t="b">
        <v>0</v>
      </c>
      <c r="K124" s="112" t="b">
        <v>0</v>
      </c>
      <c r="L124" s="112" t="s">
        <v>3521</v>
      </c>
    </row>
    <row r="125" spans="1:12" ht="15">
      <c r="A125" s="114" t="s">
        <v>2374</v>
      </c>
      <c r="B125" s="116" t="s">
        <v>2666</v>
      </c>
      <c r="C125" s="112">
        <v>2</v>
      </c>
      <c r="D125" s="115">
        <v>0.0012525217982988267</v>
      </c>
      <c r="E125" s="115">
        <v>1.0790355829632798</v>
      </c>
      <c r="F125" s="112" t="b">
        <v>1</v>
      </c>
      <c r="G125" s="112" t="b">
        <v>0</v>
      </c>
      <c r="H125" s="112" t="b">
        <v>0</v>
      </c>
      <c r="I125" s="112" t="b">
        <v>0</v>
      </c>
      <c r="J125" s="112" t="b">
        <v>0</v>
      </c>
      <c r="K125" s="112" t="b">
        <v>0</v>
      </c>
      <c r="L125" s="112" t="s">
        <v>3521</v>
      </c>
    </row>
    <row r="126" spans="1:12" ht="15">
      <c r="A126" s="114" t="s">
        <v>334</v>
      </c>
      <c r="B126" s="116" t="s">
        <v>681</v>
      </c>
      <c r="C126" s="112">
        <v>2</v>
      </c>
      <c r="D126" s="115">
        <v>0.0012525217982988267</v>
      </c>
      <c r="E126" s="115">
        <v>1.063584742655421</v>
      </c>
      <c r="F126" s="112" t="b">
        <v>0</v>
      </c>
      <c r="G126" s="112" t="b">
        <v>0</v>
      </c>
      <c r="H126" s="112" t="b">
        <v>0</v>
      </c>
      <c r="I126" s="112" t="b">
        <v>1</v>
      </c>
      <c r="J126" s="112" t="b">
        <v>0</v>
      </c>
      <c r="K126" s="112" t="b">
        <v>0</v>
      </c>
      <c r="L126" s="112" t="s">
        <v>3521</v>
      </c>
    </row>
    <row r="127" spans="1:12" ht="15">
      <c r="A127" s="114" t="s">
        <v>2807</v>
      </c>
      <c r="B127" s="116" t="s">
        <v>2824</v>
      </c>
      <c r="C127" s="112">
        <v>2</v>
      </c>
      <c r="D127" s="115">
        <v>0.0012525217982988267</v>
      </c>
      <c r="E127" s="115">
        <v>3.1733319803686495</v>
      </c>
      <c r="F127" s="112" t="b">
        <v>0</v>
      </c>
      <c r="G127" s="112" t="b">
        <v>0</v>
      </c>
      <c r="H127" s="112" t="b">
        <v>0</v>
      </c>
      <c r="I127" s="112" t="b">
        <v>0</v>
      </c>
      <c r="J127" s="112" t="b">
        <v>0</v>
      </c>
      <c r="K127" s="112" t="b">
        <v>0</v>
      </c>
      <c r="L127" s="112" t="s">
        <v>3521</v>
      </c>
    </row>
    <row r="128" spans="1:12" ht="15">
      <c r="A128" s="114" t="s">
        <v>2381</v>
      </c>
      <c r="B128" s="116" t="s">
        <v>3010</v>
      </c>
      <c r="C128" s="112">
        <v>2</v>
      </c>
      <c r="D128" s="115">
        <v>0.0012525217982988267</v>
      </c>
      <c r="E128" s="115">
        <v>2.195608375079802</v>
      </c>
      <c r="F128" s="112" t="b">
        <v>0</v>
      </c>
      <c r="G128" s="112" t="b">
        <v>0</v>
      </c>
      <c r="H128" s="112" t="b">
        <v>0</v>
      </c>
      <c r="I128" s="112" t="b">
        <v>0</v>
      </c>
      <c r="J128" s="112" t="b">
        <v>0</v>
      </c>
      <c r="K128" s="112" t="b">
        <v>0</v>
      </c>
      <c r="L128" s="112" t="s">
        <v>3521</v>
      </c>
    </row>
    <row r="129" spans="1:12" ht="15">
      <c r="A129" s="114" t="s">
        <v>681</v>
      </c>
      <c r="B129" s="116" t="s">
        <v>2650</v>
      </c>
      <c r="C129" s="112">
        <v>2</v>
      </c>
      <c r="D129" s="115">
        <v>0.0012525217982988267</v>
      </c>
      <c r="E129" s="115">
        <v>0.633628741420824</v>
      </c>
      <c r="F129" s="112" t="b">
        <v>1</v>
      </c>
      <c r="G129" s="112" t="b">
        <v>0</v>
      </c>
      <c r="H129" s="112" t="b">
        <v>0</v>
      </c>
      <c r="I129" s="112" t="b">
        <v>0</v>
      </c>
      <c r="J129" s="112" t="b">
        <v>0</v>
      </c>
      <c r="K129" s="112" t="b">
        <v>0</v>
      </c>
      <c r="L129" s="112" t="s">
        <v>3521</v>
      </c>
    </row>
    <row r="130" spans="1:12" ht="15">
      <c r="A130" s="114" t="s">
        <v>2706</v>
      </c>
      <c r="B130" s="116" t="s">
        <v>2805</v>
      </c>
      <c r="C130" s="112">
        <v>2</v>
      </c>
      <c r="D130" s="115">
        <v>0.0012525217982988267</v>
      </c>
      <c r="E130" s="115">
        <v>2.8723019847046682</v>
      </c>
      <c r="F130" s="112" t="b">
        <v>0</v>
      </c>
      <c r="G130" s="112" t="b">
        <v>0</v>
      </c>
      <c r="H130" s="112" t="b">
        <v>0</v>
      </c>
      <c r="I130" s="112" t="b">
        <v>0</v>
      </c>
      <c r="J130" s="112" t="b">
        <v>0</v>
      </c>
      <c r="K130" s="112" t="b">
        <v>0</v>
      </c>
      <c r="L130" s="112" t="s">
        <v>3521</v>
      </c>
    </row>
    <row r="131" spans="1:12" ht="15">
      <c r="A131" s="114" t="s">
        <v>2737</v>
      </c>
      <c r="B131" s="116" t="s">
        <v>2376</v>
      </c>
      <c r="C131" s="112">
        <v>2</v>
      </c>
      <c r="D131" s="115">
        <v>0.0012525217982988267</v>
      </c>
      <c r="E131" s="115">
        <v>1.440938220545681</v>
      </c>
      <c r="F131" s="112" t="b">
        <v>1</v>
      </c>
      <c r="G131" s="112" t="b">
        <v>0</v>
      </c>
      <c r="H131" s="112" t="b">
        <v>0</v>
      </c>
      <c r="I131" s="112" t="b">
        <v>0</v>
      </c>
      <c r="J131" s="112" t="b">
        <v>0</v>
      </c>
      <c r="K131" s="112" t="b">
        <v>0</v>
      </c>
      <c r="L131" s="112" t="s">
        <v>3521</v>
      </c>
    </row>
    <row r="132" spans="1:12" ht="15">
      <c r="A132" s="114" t="s">
        <v>2680</v>
      </c>
      <c r="B132" s="116" t="s">
        <v>2899</v>
      </c>
      <c r="C132" s="112">
        <v>2</v>
      </c>
      <c r="D132" s="115">
        <v>0.0014420872867522152</v>
      </c>
      <c r="E132" s="115">
        <v>2.629263936018374</v>
      </c>
      <c r="F132" s="112" t="b">
        <v>1</v>
      </c>
      <c r="G132" s="112" t="b">
        <v>0</v>
      </c>
      <c r="H132" s="112" t="b">
        <v>0</v>
      </c>
      <c r="I132" s="112" t="b">
        <v>0</v>
      </c>
      <c r="J132" s="112" t="b">
        <v>0</v>
      </c>
      <c r="K132" s="112" t="b">
        <v>0</v>
      </c>
      <c r="L132" s="112" t="s">
        <v>3521</v>
      </c>
    </row>
    <row r="133" spans="1:12" ht="15">
      <c r="A133" s="114" t="s">
        <v>2376</v>
      </c>
      <c r="B133" s="116" t="s">
        <v>2854</v>
      </c>
      <c r="C133" s="112">
        <v>2</v>
      </c>
      <c r="D133" s="115">
        <v>0.0012525217982988267</v>
      </c>
      <c r="E133" s="115">
        <v>1.5739948473761605</v>
      </c>
      <c r="F133" s="112" t="b">
        <v>0</v>
      </c>
      <c r="G133" s="112" t="b">
        <v>0</v>
      </c>
      <c r="H133" s="112" t="b">
        <v>0</v>
      </c>
      <c r="I133" s="112" t="b">
        <v>0</v>
      </c>
      <c r="J133" s="112" t="b">
        <v>0</v>
      </c>
      <c r="K133" s="112" t="b">
        <v>0</v>
      </c>
      <c r="L133" s="112" t="s">
        <v>3521</v>
      </c>
    </row>
    <row r="134" spans="1:12" ht="15">
      <c r="A134" s="114" t="s">
        <v>2719</v>
      </c>
      <c r="B134" s="116" t="s">
        <v>2767</v>
      </c>
      <c r="C134" s="112">
        <v>2</v>
      </c>
      <c r="D134" s="115">
        <v>0.0014420872867522152</v>
      </c>
      <c r="E134" s="115">
        <v>2.4743619760326307</v>
      </c>
      <c r="F134" s="112" t="b">
        <v>0</v>
      </c>
      <c r="G134" s="112" t="b">
        <v>0</v>
      </c>
      <c r="H134" s="112" t="b">
        <v>0</v>
      </c>
      <c r="I134" s="112" t="b">
        <v>0</v>
      </c>
      <c r="J134" s="112" t="b">
        <v>0</v>
      </c>
      <c r="K134" s="112" t="b">
        <v>0</v>
      </c>
      <c r="L134" s="112" t="s">
        <v>3521</v>
      </c>
    </row>
    <row r="135" spans="1:12" ht="15">
      <c r="A135" s="114" t="s">
        <v>2902</v>
      </c>
      <c r="B135" s="116" t="s">
        <v>3016</v>
      </c>
      <c r="C135" s="112">
        <v>2</v>
      </c>
      <c r="D135" s="115">
        <v>0.0012525217982988267</v>
      </c>
      <c r="E135" s="115">
        <v>3.1733319803686495</v>
      </c>
      <c r="F135" s="112" t="b">
        <v>0</v>
      </c>
      <c r="G135" s="112" t="b">
        <v>0</v>
      </c>
      <c r="H135" s="112" t="b">
        <v>0</v>
      </c>
      <c r="I135" s="112" t="b">
        <v>0</v>
      </c>
      <c r="J135" s="112" t="b">
        <v>0</v>
      </c>
      <c r="K135" s="112" t="b">
        <v>0</v>
      </c>
      <c r="L135" s="112" t="s">
        <v>3521</v>
      </c>
    </row>
    <row r="136" spans="1:12" ht="15">
      <c r="A136" s="114" t="s">
        <v>2377</v>
      </c>
      <c r="B136" s="116" t="s">
        <v>2648</v>
      </c>
      <c r="C136" s="112">
        <v>2</v>
      </c>
      <c r="D136" s="115">
        <v>0.0012525217982988267</v>
      </c>
      <c r="E136" s="115">
        <v>1.0429982118736434</v>
      </c>
      <c r="F136" s="112" t="b">
        <v>0</v>
      </c>
      <c r="G136" s="112" t="b">
        <v>0</v>
      </c>
      <c r="H136" s="112" t="b">
        <v>0</v>
      </c>
      <c r="I136" s="112" t="b">
        <v>0</v>
      </c>
      <c r="J136" s="112" t="b">
        <v>0</v>
      </c>
      <c r="K136" s="112" t="b">
        <v>0</v>
      </c>
      <c r="L136" s="112" t="s">
        <v>3521</v>
      </c>
    </row>
    <row r="137" spans="1:12" ht="15">
      <c r="A137" s="114" t="s">
        <v>2650</v>
      </c>
      <c r="B137" s="116" t="s">
        <v>2374</v>
      </c>
      <c r="C137" s="112">
        <v>2</v>
      </c>
      <c r="D137" s="115">
        <v>0.0012525217982988267</v>
      </c>
      <c r="E137" s="115">
        <v>0.6648022613973631</v>
      </c>
      <c r="F137" s="112" t="b">
        <v>0</v>
      </c>
      <c r="G137" s="112" t="b">
        <v>0</v>
      </c>
      <c r="H137" s="112" t="b">
        <v>0</v>
      </c>
      <c r="I137" s="112" t="b">
        <v>1</v>
      </c>
      <c r="J137" s="112" t="b">
        <v>0</v>
      </c>
      <c r="K137" s="112" t="b">
        <v>0</v>
      </c>
      <c r="L137" s="112" t="s">
        <v>3521</v>
      </c>
    </row>
    <row r="138" spans="1:12" ht="15">
      <c r="A138" s="114" t="s">
        <v>2381</v>
      </c>
      <c r="B138" s="116" t="s">
        <v>2689</v>
      </c>
      <c r="C138" s="112">
        <v>2</v>
      </c>
      <c r="D138" s="115">
        <v>0.0012525217982988267</v>
      </c>
      <c r="E138" s="115">
        <v>1.7184871203601393</v>
      </c>
      <c r="F138" s="112" t="b">
        <v>0</v>
      </c>
      <c r="G138" s="112" t="b">
        <v>0</v>
      </c>
      <c r="H138" s="112" t="b">
        <v>0</v>
      </c>
      <c r="I138" s="112" t="b">
        <v>0</v>
      </c>
      <c r="J138" s="112" t="b">
        <v>1</v>
      </c>
      <c r="K138" s="112" t="b">
        <v>0</v>
      </c>
      <c r="L138" s="112" t="s">
        <v>3521</v>
      </c>
    </row>
    <row r="139" spans="1:12" ht="15">
      <c r="A139" s="114" t="s">
        <v>2803</v>
      </c>
      <c r="B139" s="116" t="s">
        <v>2376</v>
      </c>
      <c r="C139" s="112">
        <v>2</v>
      </c>
      <c r="D139" s="115">
        <v>0.0012525217982988267</v>
      </c>
      <c r="E139" s="115">
        <v>1.565876957153981</v>
      </c>
      <c r="F139" s="112" t="b">
        <v>1</v>
      </c>
      <c r="G139" s="112" t="b">
        <v>0</v>
      </c>
      <c r="H139" s="112" t="b">
        <v>0</v>
      </c>
      <c r="I139" s="112" t="b">
        <v>0</v>
      </c>
      <c r="J139" s="112" t="b">
        <v>0</v>
      </c>
      <c r="K139" s="112" t="b">
        <v>0</v>
      </c>
      <c r="L139" s="112" t="s">
        <v>3521</v>
      </c>
    </row>
    <row r="140" spans="1:12" ht="15">
      <c r="A140" s="114" t="s">
        <v>2644</v>
      </c>
      <c r="B140" s="116" t="s">
        <v>2648</v>
      </c>
      <c r="C140" s="112">
        <v>2</v>
      </c>
      <c r="D140" s="115">
        <v>0.0012525217982988267</v>
      </c>
      <c r="E140" s="115">
        <v>1.5500826899707492</v>
      </c>
      <c r="F140" s="112" t="b">
        <v>0</v>
      </c>
      <c r="G140" s="112" t="b">
        <v>0</v>
      </c>
      <c r="H140" s="112" t="b">
        <v>0</v>
      </c>
      <c r="I140" s="112" t="b">
        <v>0</v>
      </c>
      <c r="J140" s="112" t="b">
        <v>0</v>
      </c>
      <c r="K140" s="112" t="b">
        <v>0</v>
      </c>
      <c r="L140" s="112" t="s">
        <v>3521</v>
      </c>
    </row>
    <row r="141" spans="1:12" ht="15">
      <c r="A141" s="114" t="s">
        <v>2877</v>
      </c>
      <c r="B141" s="116" t="s">
        <v>2646</v>
      </c>
      <c r="C141" s="112">
        <v>2</v>
      </c>
      <c r="D141" s="115">
        <v>0.0012525217982988267</v>
      </c>
      <c r="E141" s="115">
        <v>2.395180729985006</v>
      </c>
      <c r="F141" s="112" t="b">
        <v>0</v>
      </c>
      <c r="G141" s="112" t="b">
        <v>0</v>
      </c>
      <c r="H141" s="112" t="b">
        <v>0</v>
      </c>
      <c r="I141" s="112" t="b">
        <v>0</v>
      </c>
      <c r="J141" s="112" t="b">
        <v>0</v>
      </c>
      <c r="K141" s="112" t="b">
        <v>0</v>
      </c>
      <c r="L141" s="112" t="s">
        <v>3521</v>
      </c>
    </row>
    <row r="142" spans="1:12" ht="15">
      <c r="A142" s="114" t="s">
        <v>2829</v>
      </c>
      <c r="B142" s="116" t="s">
        <v>2663</v>
      </c>
      <c r="C142" s="112">
        <v>2</v>
      </c>
      <c r="D142" s="115">
        <v>0.0012525217982988267</v>
      </c>
      <c r="E142" s="115">
        <v>2.3440282075376246</v>
      </c>
      <c r="F142" s="112" t="b">
        <v>0</v>
      </c>
      <c r="G142" s="112" t="b">
        <v>0</v>
      </c>
      <c r="H142" s="112" t="b">
        <v>0</v>
      </c>
      <c r="I142" s="112" t="b">
        <v>0</v>
      </c>
      <c r="J142" s="112" t="b">
        <v>1</v>
      </c>
      <c r="K142" s="112" t="b">
        <v>0</v>
      </c>
      <c r="L142" s="112" t="s">
        <v>3521</v>
      </c>
    </row>
    <row r="143" spans="1:12" ht="15">
      <c r="A143" s="114" t="s">
        <v>2927</v>
      </c>
      <c r="B143" s="116" t="s">
        <v>2740</v>
      </c>
      <c r="C143" s="112">
        <v>2</v>
      </c>
      <c r="D143" s="115">
        <v>0.0012525217982988267</v>
      </c>
      <c r="E143" s="115">
        <v>2.997240721312968</v>
      </c>
      <c r="F143" s="112" t="b">
        <v>0</v>
      </c>
      <c r="G143" s="112" t="b">
        <v>0</v>
      </c>
      <c r="H143" s="112" t="b">
        <v>0</v>
      </c>
      <c r="I143" s="112" t="b">
        <v>0</v>
      </c>
      <c r="J143" s="112" t="b">
        <v>0</v>
      </c>
      <c r="K143" s="112" t="b">
        <v>0</v>
      </c>
      <c r="L143" s="112" t="s">
        <v>3521</v>
      </c>
    </row>
    <row r="144" spans="1:12" ht="15">
      <c r="A144" s="114" t="s">
        <v>2374</v>
      </c>
      <c r="B144" s="116" t="s">
        <v>2670</v>
      </c>
      <c r="C144" s="112">
        <v>2</v>
      </c>
      <c r="D144" s="115">
        <v>0.0012525217982988267</v>
      </c>
      <c r="E144" s="115">
        <v>1.0790355829632798</v>
      </c>
      <c r="F144" s="112" t="b">
        <v>1</v>
      </c>
      <c r="G144" s="112" t="b">
        <v>0</v>
      </c>
      <c r="H144" s="112" t="b">
        <v>0</v>
      </c>
      <c r="I144" s="112" t="b">
        <v>0</v>
      </c>
      <c r="J144" s="112" t="b">
        <v>0</v>
      </c>
      <c r="K144" s="112" t="b">
        <v>0</v>
      </c>
      <c r="L144" s="112" t="s">
        <v>3521</v>
      </c>
    </row>
    <row r="145" spans="1:12" ht="15">
      <c r="A145" s="114" t="s">
        <v>2979</v>
      </c>
      <c r="B145" s="116" t="s">
        <v>2638</v>
      </c>
      <c r="C145" s="112">
        <v>2</v>
      </c>
      <c r="D145" s="115">
        <v>0.0012525217982988267</v>
      </c>
      <c r="E145" s="115">
        <v>2.2190894709293247</v>
      </c>
      <c r="F145" s="112" t="b">
        <v>0</v>
      </c>
      <c r="G145" s="112" t="b">
        <v>1</v>
      </c>
      <c r="H145" s="112" t="b">
        <v>0</v>
      </c>
      <c r="I145" s="112" t="b">
        <v>0</v>
      </c>
      <c r="J145" s="112" t="b">
        <v>0</v>
      </c>
      <c r="K145" s="112" t="b">
        <v>0</v>
      </c>
      <c r="L145" s="112" t="s">
        <v>3521</v>
      </c>
    </row>
    <row r="146" spans="1:12" ht="15">
      <c r="A146" s="114" t="s">
        <v>3010</v>
      </c>
      <c r="B146" s="116" t="s">
        <v>2377</v>
      </c>
      <c r="C146" s="112">
        <v>2</v>
      </c>
      <c r="D146" s="115">
        <v>0.0012525217982988267</v>
      </c>
      <c r="E146" s="115">
        <v>1.8211494622572872</v>
      </c>
      <c r="F146" s="112" t="b">
        <v>0</v>
      </c>
      <c r="G146" s="112" t="b">
        <v>0</v>
      </c>
      <c r="H146" s="112" t="b">
        <v>0</v>
      </c>
      <c r="I146" s="112" t="b">
        <v>0</v>
      </c>
      <c r="J146" s="112" t="b">
        <v>0</v>
      </c>
      <c r="K146" s="112" t="b">
        <v>0</v>
      </c>
      <c r="L146" s="112" t="s">
        <v>3521</v>
      </c>
    </row>
    <row r="147" spans="1:12" ht="15">
      <c r="A147" s="114" t="s">
        <v>2862</v>
      </c>
      <c r="B147" s="116" t="s">
        <v>2927</v>
      </c>
      <c r="C147" s="112">
        <v>2</v>
      </c>
      <c r="D147" s="115">
        <v>0.0012525217982988267</v>
      </c>
      <c r="E147" s="115">
        <v>3.1733319803686495</v>
      </c>
      <c r="F147" s="112" t="b">
        <v>0</v>
      </c>
      <c r="G147" s="112" t="b">
        <v>0</v>
      </c>
      <c r="H147" s="112" t="b">
        <v>0</v>
      </c>
      <c r="I147" s="112" t="b">
        <v>0</v>
      </c>
      <c r="J147" s="112" t="b">
        <v>0</v>
      </c>
      <c r="K147" s="112" t="b">
        <v>0</v>
      </c>
      <c r="L147" s="112" t="s">
        <v>3521</v>
      </c>
    </row>
    <row r="148" spans="1:12" ht="15">
      <c r="A148" s="114" t="s">
        <v>681</v>
      </c>
      <c r="B148" s="116" t="s">
        <v>2688</v>
      </c>
      <c r="C148" s="112">
        <v>2</v>
      </c>
      <c r="D148" s="115">
        <v>0.0012525217982988267</v>
      </c>
      <c r="E148" s="115">
        <v>0.8299233865647923</v>
      </c>
      <c r="F148" s="112" t="b">
        <v>1</v>
      </c>
      <c r="G148" s="112" t="b">
        <v>0</v>
      </c>
      <c r="H148" s="112" t="b">
        <v>0</v>
      </c>
      <c r="I148" s="112" t="b">
        <v>1</v>
      </c>
      <c r="J148" s="112" t="b">
        <v>0</v>
      </c>
      <c r="K148" s="112" t="b">
        <v>0</v>
      </c>
      <c r="L148" s="112" t="s">
        <v>3521</v>
      </c>
    </row>
    <row r="149" spans="1:12" ht="15">
      <c r="A149" s="114" t="s">
        <v>2989</v>
      </c>
      <c r="B149" s="116" t="s">
        <v>2376</v>
      </c>
      <c r="C149" s="112">
        <v>2</v>
      </c>
      <c r="D149" s="115">
        <v>0.0014420872867522152</v>
      </c>
      <c r="E149" s="115">
        <v>1.7419682162096621</v>
      </c>
      <c r="F149" s="112" t="b">
        <v>0</v>
      </c>
      <c r="G149" s="112" t="b">
        <v>0</v>
      </c>
      <c r="H149" s="112" t="b">
        <v>0</v>
      </c>
      <c r="I149" s="112" t="b">
        <v>0</v>
      </c>
      <c r="J149" s="112" t="b">
        <v>0</v>
      </c>
      <c r="K149" s="112" t="b">
        <v>0</v>
      </c>
      <c r="L149" s="112" t="s">
        <v>3521</v>
      </c>
    </row>
    <row r="150" spans="1:12" ht="15">
      <c r="A150" s="114" t="s">
        <v>2775</v>
      </c>
      <c r="B150" s="116" t="s">
        <v>2643</v>
      </c>
      <c r="C150" s="112">
        <v>2</v>
      </c>
      <c r="D150" s="115">
        <v>0.0012525217982988267</v>
      </c>
      <c r="E150" s="115">
        <v>2.094150734321025</v>
      </c>
      <c r="F150" s="112" t="b">
        <v>0</v>
      </c>
      <c r="G150" s="112" t="b">
        <v>1</v>
      </c>
      <c r="H150" s="112" t="b">
        <v>0</v>
      </c>
      <c r="I150" s="112" t="b">
        <v>0</v>
      </c>
      <c r="J150" s="112" t="b">
        <v>0</v>
      </c>
      <c r="K150" s="112" t="b">
        <v>0</v>
      </c>
      <c r="L150" s="112" t="s">
        <v>3521</v>
      </c>
    </row>
    <row r="151" spans="1:12" ht="15">
      <c r="A151" s="114" t="s">
        <v>2959</v>
      </c>
      <c r="B151" s="116" t="s">
        <v>681</v>
      </c>
      <c r="C151" s="112">
        <v>2</v>
      </c>
      <c r="D151" s="115">
        <v>0.0012525217982988267</v>
      </c>
      <c r="E151" s="115">
        <v>1.4615247513274585</v>
      </c>
      <c r="F151" s="112" t="b">
        <v>0</v>
      </c>
      <c r="G151" s="112" t="b">
        <v>0</v>
      </c>
      <c r="H151" s="112" t="b">
        <v>0</v>
      </c>
      <c r="I151" s="112" t="b">
        <v>1</v>
      </c>
      <c r="J151" s="112" t="b">
        <v>0</v>
      </c>
      <c r="K151" s="112" t="b">
        <v>0</v>
      </c>
      <c r="L151" s="112" t="s">
        <v>3521</v>
      </c>
    </row>
    <row r="152" spans="1:12" ht="15">
      <c r="A152" s="114" t="s">
        <v>2800</v>
      </c>
      <c r="B152" s="116" t="s">
        <v>2729</v>
      </c>
      <c r="C152" s="112">
        <v>2</v>
      </c>
      <c r="D152" s="115">
        <v>0.0014420872867522152</v>
      </c>
      <c r="E152" s="115">
        <v>2.775391971696612</v>
      </c>
      <c r="F152" s="112" t="b">
        <v>1</v>
      </c>
      <c r="G152" s="112" t="b">
        <v>0</v>
      </c>
      <c r="H152" s="112" t="b">
        <v>0</v>
      </c>
      <c r="I152" s="112" t="b">
        <v>0</v>
      </c>
      <c r="J152" s="112" t="b">
        <v>0</v>
      </c>
      <c r="K152" s="112" t="b">
        <v>0</v>
      </c>
      <c r="L152" s="112" t="s">
        <v>3521</v>
      </c>
    </row>
    <row r="153" spans="1:12" ht="15">
      <c r="A153" s="114" t="s">
        <v>2704</v>
      </c>
      <c r="B153" s="116" t="s">
        <v>2967</v>
      </c>
      <c r="C153" s="112">
        <v>2</v>
      </c>
      <c r="D153" s="115">
        <v>0.0012525217982988267</v>
      </c>
      <c r="E153" s="115">
        <v>2.6962107256489873</v>
      </c>
      <c r="F153" s="112" t="b">
        <v>0</v>
      </c>
      <c r="G153" s="112" t="b">
        <v>0</v>
      </c>
      <c r="H153" s="112" t="b">
        <v>0</v>
      </c>
      <c r="I153" s="112" t="b">
        <v>0</v>
      </c>
      <c r="J153" s="112" t="b">
        <v>0</v>
      </c>
      <c r="K153" s="112" t="b">
        <v>0</v>
      </c>
      <c r="L153" s="112" t="s">
        <v>3521</v>
      </c>
    </row>
    <row r="154" spans="1:12" ht="15">
      <c r="A154" s="114" t="s">
        <v>2373</v>
      </c>
      <c r="B154" s="116" t="s">
        <v>2374</v>
      </c>
      <c r="C154" s="112">
        <v>2</v>
      </c>
      <c r="D154" s="115">
        <v>0</v>
      </c>
      <c r="E154" s="115">
        <v>1.6020599913279623</v>
      </c>
      <c r="F154" s="112" t="b">
        <v>1</v>
      </c>
      <c r="G154" s="112" t="b">
        <v>0</v>
      </c>
      <c r="H154" s="112" t="b">
        <v>0</v>
      </c>
      <c r="I154" s="112" t="b">
        <v>1</v>
      </c>
      <c r="J154" s="112" t="b">
        <v>0</v>
      </c>
      <c r="K154" s="112" t="b">
        <v>0</v>
      </c>
      <c r="L154" s="112" t="s">
        <v>3178</v>
      </c>
    </row>
    <row r="155" spans="1:12" ht="15">
      <c r="A155" s="114" t="s">
        <v>681</v>
      </c>
      <c r="B155" s="116" t="s">
        <v>2373</v>
      </c>
      <c r="C155" s="112">
        <v>2</v>
      </c>
      <c r="D155" s="115">
        <v>0</v>
      </c>
      <c r="E155" s="115">
        <v>1.6020599913279623</v>
      </c>
      <c r="F155" s="112" t="b">
        <v>1</v>
      </c>
      <c r="G155" s="112" t="b">
        <v>0</v>
      </c>
      <c r="H155" s="112" t="b">
        <v>0</v>
      </c>
      <c r="I155" s="112" t="b">
        <v>1</v>
      </c>
      <c r="J155" s="112" t="b">
        <v>0</v>
      </c>
      <c r="K155" s="112" t="b">
        <v>0</v>
      </c>
      <c r="L155" s="112" t="s">
        <v>3178</v>
      </c>
    </row>
    <row r="156" spans="1:12" ht="15">
      <c r="A156" s="114" t="s">
        <v>2373</v>
      </c>
      <c r="B156" s="116" t="s">
        <v>2374</v>
      </c>
      <c r="C156" s="112">
        <v>10</v>
      </c>
      <c r="D156" s="115">
        <v>0.002213512575306154</v>
      </c>
      <c r="E156" s="115">
        <v>1.24551266781415</v>
      </c>
      <c r="F156" s="112" t="b">
        <v>1</v>
      </c>
      <c r="G156" s="112" t="b">
        <v>0</v>
      </c>
      <c r="H156" s="112" t="b">
        <v>0</v>
      </c>
      <c r="I156" s="112" t="b">
        <v>1</v>
      </c>
      <c r="J156" s="112" t="b">
        <v>0</v>
      </c>
      <c r="K156" s="112" t="b">
        <v>0</v>
      </c>
      <c r="L156" s="112" t="s">
        <v>3179</v>
      </c>
    </row>
    <row r="157" spans="1:12" ht="15">
      <c r="A157" s="114" t="s">
        <v>681</v>
      </c>
      <c r="B157" s="116" t="s">
        <v>2373</v>
      </c>
      <c r="C157" s="112">
        <v>9</v>
      </c>
      <c r="D157" s="115">
        <v>0.004194393483797336</v>
      </c>
      <c r="E157" s="115">
        <v>1.1997551772534747</v>
      </c>
      <c r="F157" s="112" t="b">
        <v>1</v>
      </c>
      <c r="G157" s="112" t="b">
        <v>0</v>
      </c>
      <c r="H157" s="112" t="b">
        <v>0</v>
      </c>
      <c r="I157" s="112" t="b">
        <v>1</v>
      </c>
      <c r="J157" s="112" t="b">
        <v>0</v>
      </c>
      <c r="K157" s="112" t="b">
        <v>0</v>
      </c>
      <c r="L157" s="112" t="s">
        <v>3179</v>
      </c>
    </row>
    <row r="158" spans="1:12" ht="15">
      <c r="A158" s="114" t="s">
        <v>2677</v>
      </c>
      <c r="B158" s="116" t="s">
        <v>2379</v>
      </c>
      <c r="C158" s="112">
        <v>4</v>
      </c>
      <c r="D158" s="115">
        <v>0.009397490777117917</v>
      </c>
      <c r="E158" s="115">
        <v>1.6434526764861874</v>
      </c>
      <c r="F158" s="112" t="b">
        <v>0</v>
      </c>
      <c r="G158" s="112" t="b">
        <v>0</v>
      </c>
      <c r="H158" s="112" t="b">
        <v>0</v>
      </c>
      <c r="I158" s="112" t="b">
        <v>0</v>
      </c>
      <c r="J158" s="112" t="b">
        <v>0</v>
      </c>
      <c r="K158" s="112" t="b">
        <v>0</v>
      </c>
      <c r="L158" s="112" t="s">
        <v>3179</v>
      </c>
    </row>
    <row r="159" spans="1:12" ht="15">
      <c r="A159" s="114" t="s">
        <v>2902</v>
      </c>
      <c r="B159" s="116" t="s">
        <v>3016</v>
      </c>
      <c r="C159" s="112">
        <v>2</v>
      </c>
      <c r="D159" s="115">
        <v>0.007918317534697796</v>
      </c>
      <c r="E159" s="115">
        <v>1.9444826721501687</v>
      </c>
      <c r="F159" s="112" t="b">
        <v>0</v>
      </c>
      <c r="G159" s="112" t="b">
        <v>0</v>
      </c>
      <c r="H159" s="112" t="b">
        <v>0</v>
      </c>
      <c r="I159" s="112" t="b">
        <v>0</v>
      </c>
      <c r="J159" s="112" t="b">
        <v>0</v>
      </c>
      <c r="K159" s="112" t="b">
        <v>0</v>
      </c>
      <c r="L159" s="112" t="s">
        <v>3179</v>
      </c>
    </row>
    <row r="160" spans="1:12" ht="15">
      <c r="A160" s="114" t="s">
        <v>2373</v>
      </c>
      <c r="B160" s="116" t="s">
        <v>2374</v>
      </c>
      <c r="C160" s="112">
        <v>12</v>
      </c>
      <c r="D160" s="115">
        <v>0.009796022287560964</v>
      </c>
      <c r="E160" s="115">
        <v>1.2386843677726809</v>
      </c>
      <c r="F160" s="112" t="b">
        <v>1</v>
      </c>
      <c r="G160" s="112" t="b">
        <v>0</v>
      </c>
      <c r="H160" s="112" t="b">
        <v>0</v>
      </c>
      <c r="I160" s="112" t="b">
        <v>1</v>
      </c>
      <c r="J160" s="112" t="b">
        <v>0</v>
      </c>
      <c r="K160" s="112" t="b">
        <v>0</v>
      </c>
      <c r="L160" s="112" t="s">
        <v>3180</v>
      </c>
    </row>
    <row r="161" spans="1:12" ht="15">
      <c r="A161" s="114" t="s">
        <v>681</v>
      </c>
      <c r="B161" s="116" t="s">
        <v>2373</v>
      </c>
      <c r="C161" s="112">
        <v>8</v>
      </c>
      <c r="D161" s="115">
        <v>0.010753664675156106</v>
      </c>
      <c r="E161" s="115">
        <v>1.0973552149762114</v>
      </c>
      <c r="F161" s="112" t="b">
        <v>1</v>
      </c>
      <c r="G161" s="112" t="b">
        <v>0</v>
      </c>
      <c r="H161" s="112" t="b">
        <v>0</v>
      </c>
      <c r="I161" s="112" t="b">
        <v>1</v>
      </c>
      <c r="J161" s="112" t="b">
        <v>0</v>
      </c>
      <c r="K161" s="112" t="b">
        <v>0</v>
      </c>
      <c r="L161" s="112" t="s">
        <v>3180</v>
      </c>
    </row>
    <row r="162" spans="1:12" ht="15">
      <c r="A162" s="114" t="s">
        <v>2806</v>
      </c>
      <c r="B162" s="116" t="s">
        <v>2775</v>
      </c>
      <c r="C162" s="112">
        <v>3</v>
      </c>
      <c r="D162" s="115">
        <v>0.008910128821186759</v>
      </c>
      <c r="E162" s="115">
        <v>1.910268571619067</v>
      </c>
      <c r="F162" s="112" t="b">
        <v>0</v>
      </c>
      <c r="G162" s="112" t="b">
        <v>0</v>
      </c>
      <c r="H162" s="112" t="b">
        <v>0</v>
      </c>
      <c r="I162" s="112" t="b">
        <v>0</v>
      </c>
      <c r="J162" s="112" t="b">
        <v>1</v>
      </c>
      <c r="K162" s="112" t="b">
        <v>0</v>
      </c>
      <c r="L162" s="112" t="s">
        <v>3180</v>
      </c>
    </row>
    <row r="163" spans="1:12" ht="15">
      <c r="A163" s="114" t="s">
        <v>2642</v>
      </c>
      <c r="B163" s="116" t="s">
        <v>2690</v>
      </c>
      <c r="C163" s="112">
        <v>3</v>
      </c>
      <c r="D163" s="115">
        <v>0.008910128821186759</v>
      </c>
      <c r="E163" s="115">
        <v>1.910268571619067</v>
      </c>
      <c r="F163" s="112" t="b">
        <v>0</v>
      </c>
      <c r="G163" s="112" t="b">
        <v>0</v>
      </c>
      <c r="H163" s="112" t="b">
        <v>0</v>
      </c>
      <c r="I163" s="112" t="b">
        <v>0</v>
      </c>
      <c r="J163" s="112" t="b">
        <v>0</v>
      </c>
      <c r="K163" s="112" t="b">
        <v>0</v>
      </c>
      <c r="L163" s="112" t="s">
        <v>3180</v>
      </c>
    </row>
    <row r="164" spans="1:12" ht="15">
      <c r="A164" s="114" t="s">
        <v>2643</v>
      </c>
      <c r="B164" s="116" t="s">
        <v>2637</v>
      </c>
      <c r="C164" s="112">
        <v>3</v>
      </c>
      <c r="D164" s="115">
        <v>0.008910128821186759</v>
      </c>
      <c r="E164" s="115">
        <v>1.7853298350107671</v>
      </c>
      <c r="F164" s="112" t="b">
        <v>0</v>
      </c>
      <c r="G164" s="112" t="b">
        <v>0</v>
      </c>
      <c r="H164" s="112" t="b">
        <v>0</v>
      </c>
      <c r="I164" s="112" t="b">
        <v>0</v>
      </c>
      <c r="J164" s="112" t="b">
        <v>0</v>
      </c>
      <c r="K164" s="112" t="b">
        <v>0</v>
      </c>
      <c r="L164" s="112" t="s">
        <v>3180</v>
      </c>
    </row>
    <row r="165" spans="1:12" ht="15">
      <c r="A165" s="114" t="s">
        <v>2690</v>
      </c>
      <c r="B165" s="116" t="s">
        <v>2685</v>
      </c>
      <c r="C165" s="112">
        <v>3</v>
      </c>
      <c r="D165" s="115">
        <v>0.008910128821186759</v>
      </c>
      <c r="E165" s="115">
        <v>1.910268571619067</v>
      </c>
      <c r="F165" s="112" t="b">
        <v>0</v>
      </c>
      <c r="G165" s="112" t="b">
        <v>0</v>
      </c>
      <c r="H165" s="112" t="b">
        <v>0</v>
      </c>
      <c r="I165" s="112" t="b">
        <v>0</v>
      </c>
      <c r="J165" s="112" t="b">
        <v>0</v>
      </c>
      <c r="K165" s="112" t="b">
        <v>0</v>
      </c>
      <c r="L165" s="112" t="s">
        <v>3180</v>
      </c>
    </row>
    <row r="166" spans="1:12" ht="15">
      <c r="A166" s="114" t="s">
        <v>2652</v>
      </c>
      <c r="B166" s="116" t="s">
        <v>2642</v>
      </c>
      <c r="C166" s="112">
        <v>3</v>
      </c>
      <c r="D166" s="115">
        <v>0.008910128821186759</v>
      </c>
      <c r="E166" s="115">
        <v>1.910268571619067</v>
      </c>
      <c r="F166" s="112" t="b">
        <v>0</v>
      </c>
      <c r="G166" s="112" t="b">
        <v>0</v>
      </c>
      <c r="H166" s="112" t="b">
        <v>0</v>
      </c>
      <c r="I166" s="112" t="b">
        <v>0</v>
      </c>
      <c r="J166" s="112" t="b">
        <v>0</v>
      </c>
      <c r="K166" s="112" t="b">
        <v>0</v>
      </c>
      <c r="L166" s="112" t="s">
        <v>3180</v>
      </c>
    </row>
    <row r="167" spans="1:12" ht="15">
      <c r="A167" s="114" t="s">
        <v>2374</v>
      </c>
      <c r="B167" s="116" t="s">
        <v>2381</v>
      </c>
      <c r="C167" s="112">
        <v>3</v>
      </c>
      <c r="D167" s="115">
        <v>0.008910128821186759</v>
      </c>
      <c r="E167" s="115">
        <v>1.2112985672830483</v>
      </c>
      <c r="F167" s="112" t="b">
        <v>1</v>
      </c>
      <c r="G167" s="112" t="b">
        <v>0</v>
      </c>
      <c r="H167" s="112" t="b">
        <v>0</v>
      </c>
      <c r="I167" s="112" t="b">
        <v>0</v>
      </c>
      <c r="J167" s="112" t="b">
        <v>0</v>
      </c>
      <c r="K167" s="112" t="b">
        <v>0</v>
      </c>
      <c r="L167" s="112" t="s">
        <v>3180</v>
      </c>
    </row>
    <row r="168" spans="1:12" ht="15">
      <c r="A168" s="114" t="s">
        <v>2380</v>
      </c>
      <c r="B168" s="116" t="s">
        <v>2667</v>
      </c>
      <c r="C168" s="112">
        <v>2</v>
      </c>
      <c r="D168" s="115">
        <v>0.009582232863384015</v>
      </c>
      <c r="E168" s="115">
        <v>1.5123285629470296</v>
      </c>
      <c r="F168" s="112" t="b">
        <v>0</v>
      </c>
      <c r="G168" s="112" t="b">
        <v>0</v>
      </c>
      <c r="H168" s="112" t="b">
        <v>0</v>
      </c>
      <c r="I168" s="112" t="b">
        <v>0</v>
      </c>
      <c r="J168" s="112" t="b">
        <v>0</v>
      </c>
      <c r="K168" s="112" t="b">
        <v>0</v>
      </c>
      <c r="L168" s="112" t="s">
        <v>3180</v>
      </c>
    </row>
    <row r="169" spans="1:12" ht="15">
      <c r="A169" s="114" t="s">
        <v>2637</v>
      </c>
      <c r="B169" s="116" t="s">
        <v>2652</v>
      </c>
      <c r="C169" s="112">
        <v>2</v>
      </c>
      <c r="D169" s="115">
        <v>0.0072842939651856856</v>
      </c>
      <c r="E169" s="115">
        <v>1.6092385759550858</v>
      </c>
      <c r="F169" s="112" t="b">
        <v>0</v>
      </c>
      <c r="G169" s="112" t="b">
        <v>0</v>
      </c>
      <c r="H169" s="112" t="b">
        <v>0</v>
      </c>
      <c r="I169" s="112" t="b">
        <v>0</v>
      </c>
      <c r="J169" s="112" t="b">
        <v>0</v>
      </c>
      <c r="K169" s="112" t="b">
        <v>0</v>
      </c>
      <c r="L169" s="112" t="s">
        <v>3180</v>
      </c>
    </row>
    <row r="170" spans="1:12" ht="15">
      <c r="A170" s="114" t="s">
        <v>2638</v>
      </c>
      <c r="B170" s="116" t="s">
        <v>2686</v>
      </c>
      <c r="C170" s="112">
        <v>2</v>
      </c>
      <c r="D170" s="115">
        <v>0.009582232863384015</v>
      </c>
      <c r="E170" s="115">
        <v>2.0863598306747484</v>
      </c>
      <c r="F170" s="112" t="b">
        <v>0</v>
      </c>
      <c r="G170" s="112" t="b">
        <v>0</v>
      </c>
      <c r="H170" s="112" t="b">
        <v>0</v>
      </c>
      <c r="I170" s="112" t="b">
        <v>0</v>
      </c>
      <c r="J170" s="112" t="b">
        <v>0</v>
      </c>
      <c r="K170" s="112" t="b">
        <v>0</v>
      </c>
      <c r="L170" s="112" t="s">
        <v>3180</v>
      </c>
    </row>
    <row r="171" spans="1:12" ht="15">
      <c r="A171" s="114" t="s">
        <v>2685</v>
      </c>
      <c r="B171" s="116" t="s">
        <v>2376</v>
      </c>
      <c r="C171" s="112">
        <v>2</v>
      </c>
      <c r="D171" s="115">
        <v>0.0072842939651856856</v>
      </c>
      <c r="E171" s="115">
        <v>1.6092385759550858</v>
      </c>
      <c r="F171" s="112" t="b">
        <v>0</v>
      </c>
      <c r="G171" s="112" t="b">
        <v>0</v>
      </c>
      <c r="H171" s="112" t="b">
        <v>0</v>
      </c>
      <c r="I171" s="112" t="b">
        <v>0</v>
      </c>
      <c r="J171" s="112" t="b">
        <v>0</v>
      </c>
      <c r="K171" s="112" t="b">
        <v>0</v>
      </c>
      <c r="L171" s="112" t="s">
        <v>3180</v>
      </c>
    </row>
    <row r="172" spans="1:12" ht="15">
      <c r="A172" s="114" t="s">
        <v>2959</v>
      </c>
      <c r="B172" s="116" t="s">
        <v>681</v>
      </c>
      <c r="C172" s="112">
        <v>2</v>
      </c>
      <c r="D172" s="115">
        <v>0.0072842939651856856</v>
      </c>
      <c r="E172" s="115">
        <v>1.5422917863244725</v>
      </c>
      <c r="F172" s="112" t="b">
        <v>0</v>
      </c>
      <c r="G172" s="112" t="b">
        <v>0</v>
      </c>
      <c r="H172" s="112" t="b">
        <v>0</v>
      </c>
      <c r="I172" s="112" t="b">
        <v>1</v>
      </c>
      <c r="J172" s="112" t="b">
        <v>0</v>
      </c>
      <c r="K172" s="112" t="b">
        <v>0</v>
      </c>
      <c r="L172" s="112" t="s">
        <v>3180</v>
      </c>
    </row>
    <row r="173" spans="1:12" ht="15">
      <c r="A173" s="114" t="s">
        <v>2376</v>
      </c>
      <c r="B173" s="116" t="s">
        <v>2900</v>
      </c>
      <c r="C173" s="112">
        <v>2</v>
      </c>
      <c r="D173" s="115">
        <v>0.0072842939651856856</v>
      </c>
      <c r="E173" s="115">
        <v>1.785329835010767</v>
      </c>
      <c r="F173" s="112" t="b">
        <v>0</v>
      </c>
      <c r="G173" s="112" t="b">
        <v>0</v>
      </c>
      <c r="H173" s="112" t="b">
        <v>0</v>
      </c>
      <c r="I173" s="112" t="b">
        <v>0</v>
      </c>
      <c r="J173" s="112" t="b">
        <v>0</v>
      </c>
      <c r="K173" s="112" t="b">
        <v>0</v>
      </c>
      <c r="L173" s="112" t="s">
        <v>3180</v>
      </c>
    </row>
    <row r="174" spans="1:12" ht="15">
      <c r="A174" s="114" t="s">
        <v>2900</v>
      </c>
      <c r="B174" s="116" t="s">
        <v>2959</v>
      </c>
      <c r="C174" s="112">
        <v>2</v>
      </c>
      <c r="D174" s="115">
        <v>0.0072842939651856856</v>
      </c>
      <c r="E174" s="115">
        <v>2.0863598306747484</v>
      </c>
      <c r="F174" s="112" t="b">
        <v>0</v>
      </c>
      <c r="G174" s="112" t="b">
        <v>0</v>
      </c>
      <c r="H174" s="112" t="b">
        <v>0</v>
      </c>
      <c r="I174" s="112" t="b">
        <v>0</v>
      </c>
      <c r="J174" s="112" t="b">
        <v>0</v>
      </c>
      <c r="K174" s="112" t="b">
        <v>0</v>
      </c>
      <c r="L174" s="112" t="s">
        <v>3180</v>
      </c>
    </row>
    <row r="175" spans="1:12" ht="15">
      <c r="A175" s="114" t="s">
        <v>2775</v>
      </c>
      <c r="B175" s="116" t="s">
        <v>2643</v>
      </c>
      <c r="C175" s="112">
        <v>2</v>
      </c>
      <c r="D175" s="115">
        <v>0.0072842939651856856</v>
      </c>
      <c r="E175" s="115">
        <v>1.7341773125633857</v>
      </c>
      <c r="F175" s="112" t="b">
        <v>0</v>
      </c>
      <c r="G175" s="112" t="b">
        <v>1</v>
      </c>
      <c r="H175" s="112" t="b">
        <v>0</v>
      </c>
      <c r="I175" s="112" t="b">
        <v>0</v>
      </c>
      <c r="J175" s="112" t="b">
        <v>0</v>
      </c>
      <c r="K175" s="112" t="b">
        <v>0</v>
      </c>
      <c r="L175" s="112" t="s">
        <v>3180</v>
      </c>
    </row>
    <row r="176" spans="1:12" ht="15">
      <c r="A176" s="114" t="s">
        <v>2373</v>
      </c>
      <c r="B176" s="116" t="s">
        <v>2374</v>
      </c>
      <c r="C176" s="112">
        <v>5</v>
      </c>
      <c r="D176" s="115">
        <v>0.007673683558493413</v>
      </c>
      <c r="E176" s="115">
        <v>1.3979400086720377</v>
      </c>
      <c r="F176" s="112" t="b">
        <v>1</v>
      </c>
      <c r="G176" s="112" t="b">
        <v>0</v>
      </c>
      <c r="H176" s="112" t="b">
        <v>0</v>
      </c>
      <c r="I176" s="112" t="b">
        <v>1</v>
      </c>
      <c r="J176" s="112" t="b">
        <v>0</v>
      </c>
      <c r="K176" s="112" t="b">
        <v>0</v>
      </c>
      <c r="L176" s="112" t="s">
        <v>3181</v>
      </c>
    </row>
    <row r="177" spans="1:12" ht="15">
      <c r="A177" s="114" t="s">
        <v>681</v>
      </c>
      <c r="B177" s="116" t="s">
        <v>2373</v>
      </c>
      <c r="C177" s="112">
        <v>5</v>
      </c>
      <c r="D177" s="115">
        <v>0.007673683558493413</v>
      </c>
      <c r="E177" s="115">
        <v>1.3979400086720377</v>
      </c>
      <c r="F177" s="112" t="b">
        <v>1</v>
      </c>
      <c r="G177" s="112" t="b">
        <v>0</v>
      </c>
      <c r="H177" s="112" t="b">
        <v>0</v>
      </c>
      <c r="I177" s="112" t="b">
        <v>1</v>
      </c>
      <c r="J177" s="112" t="b">
        <v>0</v>
      </c>
      <c r="K177" s="112" t="b">
        <v>0</v>
      </c>
      <c r="L177" s="112" t="s">
        <v>3181</v>
      </c>
    </row>
    <row r="178" spans="1:12" ht="15">
      <c r="A178" s="114" t="s">
        <v>2374</v>
      </c>
      <c r="B178" s="116" t="s">
        <v>2721</v>
      </c>
      <c r="C178" s="112">
        <v>2</v>
      </c>
      <c r="D178" s="115">
        <v>0.009053533704179885</v>
      </c>
      <c r="E178" s="115">
        <v>1.3979400086720377</v>
      </c>
      <c r="F178" s="112" t="b">
        <v>1</v>
      </c>
      <c r="G178" s="112" t="b">
        <v>0</v>
      </c>
      <c r="H178" s="112" t="b">
        <v>0</v>
      </c>
      <c r="I178" s="112" t="b">
        <v>0</v>
      </c>
      <c r="J178" s="112" t="b">
        <v>0</v>
      </c>
      <c r="K178" s="112" t="b">
        <v>0</v>
      </c>
      <c r="L178" s="112" t="s">
        <v>3181</v>
      </c>
    </row>
    <row r="179" spans="1:12" ht="15">
      <c r="A179" s="114" t="s">
        <v>359</v>
      </c>
      <c r="B179" s="116" t="s">
        <v>390</v>
      </c>
      <c r="C179" s="112">
        <v>2</v>
      </c>
      <c r="D179" s="115">
        <v>0.013580300556269827</v>
      </c>
      <c r="E179" s="115">
        <v>1.6197887582883939</v>
      </c>
      <c r="F179" s="112" t="b">
        <v>0</v>
      </c>
      <c r="G179" s="112" t="b">
        <v>0</v>
      </c>
      <c r="H179" s="112" t="b">
        <v>0</v>
      </c>
      <c r="I179" s="112" t="b">
        <v>0</v>
      </c>
      <c r="J179" s="112" t="b">
        <v>0</v>
      </c>
      <c r="K179" s="112" t="b">
        <v>0</v>
      </c>
      <c r="L179" s="112" t="s">
        <v>3181</v>
      </c>
    </row>
    <row r="180" spans="1:12" ht="15">
      <c r="A180" s="114" t="s">
        <v>334</v>
      </c>
      <c r="B180" s="116" t="s">
        <v>681</v>
      </c>
      <c r="C180" s="112">
        <v>2</v>
      </c>
      <c r="D180" s="115">
        <v>0.009053533704179885</v>
      </c>
      <c r="E180" s="115">
        <v>1.0969100130080565</v>
      </c>
      <c r="F180" s="112" t="b">
        <v>0</v>
      </c>
      <c r="G180" s="112" t="b">
        <v>0</v>
      </c>
      <c r="H180" s="112" t="b">
        <v>0</v>
      </c>
      <c r="I180" s="112" t="b">
        <v>1</v>
      </c>
      <c r="J180" s="112" t="b">
        <v>0</v>
      </c>
      <c r="K180" s="112" t="b">
        <v>0</v>
      </c>
      <c r="L180" s="112" t="s">
        <v>3181</v>
      </c>
    </row>
    <row r="181" spans="1:12" ht="15">
      <c r="A181" s="114" t="s">
        <v>2373</v>
      </c>
      <c r="B181" s="116" t="s">
        <v>2374</v>
      </c>
      <c r="C181" s="112">
        <v>13</v>
      </c>
      <c r="D181" s="115">
        <v>0.01038798759582727</v>
      </c>
      <c r="E181" s="115">
        <v>1.476006249018871</v>
      </c>
      <c r="F181" s="112" t="b">
        <v>1</v>
      </c>
      <c r="G181" s="112" t="b">
        <v>0</v>
      </c>
      <c r="H181" s="112" t="b">
        <v>0</v>
      </c>
      <c r="I181" s="112" t="b">
        <v>1</v>
      </c>
      <c r="J181" s="112" t="b">
        <v>0</v>
      </c>
      <c r="K181" s="112" t="b">
        <v>0</v>
      </c>
      <c r="L181" s="112" t="s">
        <v>3182</v>
      </c>
    </row>
    <row r="182" spans="1:12" ht="15">
      <c r="A182" s="114" t="s">
        <v>681</v>
      </c>
      <c r="B182" s="116" t="s">
        <v>2373</v>
      </c>
      <c r="C182" s="112">
        <v>12</v>
      </c>
      <c r="D182" s="115">
        <v>0.010589260008477538</v>
      </c>
      <c r="E182" s="115">
        <v>1.4090594593882577</v>
      </c>
      <c r="F182" s="112" t="b">
        <v>1</v>
      </c>
      <c r="G182" s="112" t="b">
        <v>0</v>
      </c>
      <c r="H182" s="112" t="b">
        <v>0</v>
      </c>
      <c r="I182" s="112" t="b">
        <v>1</v>
      </c>
      <c r="J182" s="112" t="b">
        <v>0</v>
      </c>
      <c r="K182" s="112" t="b">
        <v>0</v>
      </c>
      <c r="L182" s="112" t="s">
        <v>3182</v>
      </c>
    </row>
    <row r="183" spans="1:12" ht="15">
      <c r="A183" s="114" t="s">
        <v>2374</v>
      </c>
      <c r="B183" s="116" t="s">
        <v>2646</v>
      </c>
      <c r="C183" s="112">
        <v>4</v>
      </c>
      <c r="D183" s="115">
        <v>0.008106456019321407</v>
      </c>
      <c r="E183" s="115">
        <v>1.6357070918863827</v>
      </c>
      <c r="F183" s="112" t="b">
        <v>1</v>
      </c>
      <c r="G183" s="112" t="b">
        <v>0</v>
      </c>
      <c r="H183" s="112" t="b">
        <v>0</v>
      </c>
      <c r="I183" s="112" t="b">
        <v>0</v>
      </c>
      <c r="J183" s="112" t="b">
        <v>0</v>
      </c>
      <c r="K183" s="112" t="b">
        <v>0</v>
      </c>
      <c r="L183" s="112" t="s">
        <v>3182</v>
      </c>
    </row>
    <row r="184" spans="1:12" ht="15">
      <c r="A184" s="114" t="s">
        <v>2761</v>
      </c>
      <c r="B184" s="116" t="s">
        <v>2832</v>
      </c>
      <c r="C184" s="112">
        <v>3</v>
      </c>
      <c r="D184" s="115">
        <v>0.010411208858577117</v>
      </c>
      <c r="E184" s="115">
        <v>2.112828346606045</v>
      </c>
      <c r="F184" s="112" t="b">
        <v>0</v>
      </c>
      <c r="G184" s="112" t="b">
        <v>0</v>
      </c>
      <c r="H184" s="112" t="b">
        <v>0</v>
      </c>
      <c r="I184" s="112" t="b">
        <v>0</v>
      </c>
      <c r="J184" s="112" t="b">
        <v>0</v>
      </c>
      <c r="K184" s="112" t="b">
        <v>0</v>
      </c>
      <c r="L184" s="112" t="s">
        <v>3182</v>
      </c>
    </row>
    <row r="185" spans="1:12" ht="15">
      <c r="A185" s="114" t="s">
        <v>2832</v>
      </c>
      <c r="B185" s="116" t="s">
        <v>2660</v>
      </c>
      <c r="C185" s="112">
        <v>2</v>
      </c>
      <c r="D185" s="115">
        <v>0.006940805905718077</v>
      </c>
      <c r="E185" s="115">
        <v>1.811798350942064</v>
      </c>
      <c r="F185" s="112" t="b">
        <v>0</v>
      </c>
      <c r="G185" s="112" t="b">
        <v>0</v>
      </c>
      <c r="H185" s="112" t="b">
        <v>0</v>
      </c>
      <c r="I185" s="112" t="b">
        <v>0</v>
      </c>
      <c r="J185" s="112" t="b">
        <v>0</v>
      </c>
      <c r="K185" s="112" t="b">
        <v>0</v>
      </c>
      <c r="L185" s="112" t="s">
        <v>3182</v>
      </c>
    </row>
    <row r="186" spans="1:12" ht="15">
      <c r="A186" s="114" t="s">
        <v>2381</v>
      </c>
      <c r="B186" s="116" t="s">
        <v>3010</v>
      </c>
      <c r="C186" s="112">
        <v>2</v>
      </c>
      <c r="D186" s="115">
        <v>0.00549701695768939</v>
      </c>
      <c r="E186" s="115">
        <v>1.811798350942064</v>
      </c>
      <c r="F186" s="112" t="b">
        <v>0</v>
      </c>
      <c r="G186" s="112" t="b">
        <v>0</v>
      </c>
      <c r="H186" s="112" t="b">
        <v>0</v>
      </c>
      <c r="I186" s="112" t="b">
        <v>0</v>
      </c>
      <c r="J186" s="112" t="b">
        <v>0</v>
      </c>
      <c r="K186" s="112" t="b">
        <v>0</v>
      </c>
      <c r="L186" s="112" t="s">
        <v>3182</v>
      </c>
    </row>
    <row r="187" spans="1:12" ht="15">
      <c r="A187" s="114" t="s">
        <v>2638</v>
      </c>
      <c r="B187" s="116" t="s">
        <v>2655</v>
      </c>
      <c r="C187" s="112">
        <v>2</v>
      </c>
      <c r="D187" s="115">
        <v>0.006940805905718077</v>
      </c>
      <c r="E187" s="115">
        <v>1.6357070918863827</v>
      </c>
      <c r="F187" s="112" t="b">
        <v>0</v>
      </c>
      <c r="G187" s="112" t="b">
        <v>0</v>
      </c>
      <c r="H187" s="112" t="b">
        <v>0</v>
      </c>
      <c r="I187" s="112" t="b">
        <v>0</v>
      </c>
      <c r="J187" s="112" t="b">
        <v>0</v>
      </c>
      <c r="K187" s="112" t="b">
        <v>0</v>
      </c>
      <c r="L187" s="112" t="s">
        <v>3182</v>
      </c>
    </row>
    <row r="188" spans="1:12" ht="15">
      <c r="A188" s="114" t="s">
        <v>2646</v>
      </c>
      <c r="B188" s="116" t="s">
        <v>2979</v>
      </c>
      <c r="C188" s="112">
        <v>2</v>
      </c>
      <c r="D188" s="115">
        <v>0.00549701695768939</v>
      </c>
      <c r="E188" s="115">
        <v>1.9878896099977454</v>
      </c>
      <c r="F188" s="112" t="b">
        <v>0</v>
      </c>
      <c r="G188" s="112" t="b">
        <v>0</v>
      </c>
      <c r="H188" s="112" t="b">
        <v>0</v>
      </c>
      <c r="I188" s="112" t="b">
        <v>0</v>
      </c>
      <c r="J188" s="112" t="b">
        <v>1</v>
      </c>
      <c r="K188" s="112" t="b">
        <v>0</v>
      </c>
      <c r="L188" s="112" t="s">
        <v>3182</v>
      </c>
    </row>
    <row r="189" spans="1:12" ht="15">
      <c r="A189" s="114" t="s">
        <v>3010</v>
      </c>
      <c r="B189" s="116" t="s">
        <v>2377</v>
      </c>
      <c r="C189" s="112">
        <v>2</v>
      </c>
      <c r="D189" s="115">
        <v>0.00549701695768939</v>
      </c>
      <c r="E189" s="115">
        <v>1.4438215656474698</v>
      </c>
      <c r="F189" s="112" t="b">
        <v>0</v>
      </c>
      <c r="G189" s="112" t="b">
        <v>0</v>
      </c>
      <c r="H189" s="112" t="b">
        <v>0</v>
      </c>
      <c r="I189" s="112" t="b">
        <v>0</v>
      </c>
      <c r="J189" s="112" t="b">
        <v>0</v>
      </c>
      <c r="K189" s="112" t="b">
        <v>0</v>
      </c>
      <c r="L189" s="112" t="s">
        <v>3182</v>
      </c>
    </row>
    <row r="190" spans="1:12" ht="15">
      <c r="A190" s="114" t="s">
        <v>2794</v>
      </c>
      <c r="B190" s="116" t="s">
        <v>2940</v>
      </c>
      <c r="C190" s="112">
        <v>2</v>
      </c>
      <c r="D190" s="115">
        <v>0.00549701695768939</v>
      </c>
      <c r="E190" s="115">
        <v>2.2889196056617265</v>
      </c>
      <c r="F190" s="112" t="b">
        <v>0</v>
      </c>
      <c r="G190" s="112" t="b">
        <v>1</v>
      </c>
      <c r="H190" s="112" t="b">
        <v>0</v>
      </c>
      <c r="I190" s="112" t="b">
        <v>0</v>
      </c>
      <c r="J190" s="112" t="b">
        <v>0</v>
      </c>
      <c r="K190" s="112" t="b">
        <v>0</v>
      </c>
      <c r="L190" s="112" t="s">
        <v>3182</v>
      </c>
    </row>
    <row r="191" spans="1:12" ht="15">
      <c r="A191" s="114" t="s">
        <v>2377</v>
      </c>
      <c r="B191" s="116" t="s">
        <v>2852</v>
      </c>
      <c r="C191" s="112">
        <v>2</v>
      </c>
      <c r="D191" s="115">
        <v>0.00549701695768939</v>
      </c>
      <c r="E191" s="115">
        <v>1.4438215656474698</v>
      </c>
      <c r="F191" s="112" t="b">
        <v>0</v>
      </c>
      <c r="G191" s="112" t="b">
        <v>0</v>
      </c>
      <c r="H191" s="112" t="b">
        <v>0</v>
      </c>
      <c r="I191" s="112" t="b">
        <v>0</v>
      </c>
      <c r="J191" s="112" t="b">
        <v>0</v>
      </c>
      <c r="K191" s="112" t="b">
        <v>0</v>
      </c>
      <c r="L191" s="112" t="s">
        <v>3182</v>
      </c>
    </row>
    <row r="192" spans="1:12" ht="15">
      <c r="A192" s="114" t="s">
        <v>2714</v>
      </c>
      <c r="B192" s="116" t="s">
        <v>2636</v>
      </c>
      <c r="C192" s="112">
        <v>2</v>
      </c>
      <c r="D192" s="115">
        <v>0.006940805905718077</v>
      </c>
      <c r="E192" s="115">
        <v>1.890979596989689</v>
      </c>
      <c r="F192" s="112" t="b">
        <v>0</v>
      </c>
      <c r="G192" s="112" t="b">
        <v>0</v>
      </c>
      <c r="H192" s="112" t="b">
        <v>0</v>
      </c>
      <c r="I192" s="112" t="b">
        <v>0</v>
      </c>
      <c r="J192" s="112" t="b">
        <v>0</v>
      </c>
      <c r="K192" s="112" t="b">
        <v>0</v>
      </c>
      <c r="L192" s="112" t="s">
        <v>3182</v>
      </c>
    </row>
    <row r="193" spans="1:12" ht="15">
      <c r="A193" s="114" t="s">
        <v>2711</v>
      </c>
      <c r="B193" s="116" t="s">
        <v>2848</v>
      </c>
      <c r="C193" s="112">
        <v>2</v>
      </c>
      <c r="D193" s="115">
        <v>0.006940805905718077</v>
      </c>
      <c r="E193" s="115">
        <v>2.112828346606045</v>
      </c>
      <c r="F193" s="112" t="b">
        <v>0</v>
      </c>
      <c r="G193" s="112" t="b">
        <v>0</v>
      </c>
      <c r="H193" s="112" t="b">
        <v>0</v>
      </c>
      <c r="I193" s="112" t="b">
        <v>0</v>
      </c>
      <c r="J193" s="112" t="b">
        <v>0</v>
      </c>
      <c r="K193" s="112" t="b">
        <v>0</v>
      </c>
      <c r="L193" s="112" t="s">
        <v>3182</v>
      </c>
    </row>
    <row r="194" spans="1:12" ht="15">
      <c r="A194" s="114" t="s">
        <v>2817</v>
      </c>
      <c r="B194" s="116" t="s">
        <v>2711</v>
      </c>
      <c r="C194" s="112">
        <v>2</v>
      </c>
      <c r="D194" s="115">
        <v>0.006940805905718077</v>
      </c>
      <c r="E194" s="115">
        <v>1.936737087550364</v>
      </c>
      <c r="F194" s="112" t="b">
        <v>0</v>
      </c>
      <c r="G194" s="112" t="b">
        <v>0</v>
      </c>
      <c r="H194" s="112" t="b">
        <v>0</v>
      </c>
      <c r="I194" s="112" t="b">
        <v>0</v>
      </c>
      <c r="J194" s="112" t="b">
        <v>0</v>
      </c>
      <c r="K194" s="112" t="b">
        <v>0</v>
      </c>
      <c r="L194" s="112" t="s">
        <v>3182</v>
      </c>
    </row>
    <row r="195" spans="1:12" ht="15">
      <c r="A195" s="114" t="s">
        <v>2979</v>
      </c>
      <c r="B195" s="116" t="s">
        <v>2638</v>
      </c>
      <c r="C195" s="112">
        <v>2</v>
      </c>
      <c r="D195" s="115">
        <v>0.00549701695768939</v>
      </c>
      <c r="E195" s="115">
        <v>1.811798350942064</v>
      </c>
      <c r="F195" s="112" t="b">
        <v>0</v>
      </c>
      <c r="G195" s="112" t="b">
        <v>1</v>
      </c>
      <c r="H195" s="112" t="b">
        <v>0</v>
      </c>
      <c r="I195" s="112" t="b">
        <v>0</v>
      </c>
      <c r="J195" s="112" t="b">
        <v>0</v>
      </c>
      <c r="K195" s="112" t="b">
        <v>0</v>
      </c>
      <c r="L195" s="112" t="s">
        <v>3182</v>
      </c>
    </row>
    <row r="196" spans="1:12" ht="15">
      <c r="A196" s="114" t="s">
        <v>2638</v>
      </c>
      <c r="B196" s="116" t="s">
        <v>2644</v>
      </c>
      <c r="C196" s="112">
        <v>2</v>
      </c>
      <c r="D196" s="115">
        <v>0.00549701695768939</v>
      </c>
      <c r="E196" s="115">
        <v>1.5107683552780828</v>
      </c>
      <c r="F196" s="112" t="b">
        <v>0</v>
      </c>
      <c r="G196" s="112" t="b">
        <v>0</v>
      </c>
      <c r="H196" s="112" t="b">
        <v>0</v>
      </c>
      <c r="I196" s="112" t="b">
        <v>0</v>
      </c>
      <c r="J196" s="112" t="b">
        <v>0</v>
      </c>
      <c r="K196" s="112" t="b">
        <v>0</v>
      </c>
      <c r="L196" s="112" t="s">
        <v>3182</v>
      </c>
    </row>
    <row r="197" spans="1:12" ht="15">
      <c r="A197" s="114" t="s">
        <v>2373</v>
      </c>
      <c r="B197" s="116" t="s">
        <v>2374</v>
      </c>
      <c r="C197" s="112">
        <v>10</v>
      </c>
      <c r="D197" s="115">
        <v>0.009400370746455779</v>
      </c>
      <c r="E197" s="115">
        <v>1.3443922736851108</v>
      </c>
      <c r="F197" s="112" t="b">
        <v>1</v>
      </c>
      <c r="G197" s="112" t="b">
        <v>0</v>
      </c>
      <c r="H197" s="112" t="b">
        <v>0</v>
      </c>
      <c r="I197" s="112" t="b">
        <v>1</v>
      </c>
      <c r="J197" s="112" t="b">
        <v>0</v>
      </c>
      <c r="K197" s="112" t="b">
        <v>0</v>
      </c>
      <c r="L197" s="112" t="s">
        <v>3183</v>
      </c>
    </row>
    <row r="198" spans="1:12" ht="15">
      <c r="A198" s="114" t="s">
        <v>681</v>
      </c>
      <c r="B198" s="116" t="s">
        <v>2373</v>
      </c>
      <c r="C198" s="112">
        <v>8</v>
      </c>
      <c r="D198" s="115">
        <v>0.009254280408940259</v>
      </c>
      <c r="E198" s="115">
        <v>1.2932397512377294</v>
      </c>
      <c r="F198" s="112" t="b">
        <v>1</v>
      </c>
      <c r="G198" s="112" t="b">
        <v>0</v>
      </c>
      <c r="H198" s="112" t="b">
        <v>0</v>
      </c>
      <c r="I198" s="112" t="b">
        <v>1</v>
      </c>
      <c r="J198" s="112" t="b">
        <v>0</v>
      </c>
      <c r="K198" s="112" t="b">
        <v>0</v>
      </c>
      <c r="L198" s="112" t="s">
        <v>3183</v>
      </c>
    </row>
    <row r="199" spans="1:12" ht="15">
      <c r="A199" s="114" t="s">
        <v>2643</v>
      </c>
      <c r="B199" s="116" t="s">
        <v>2637</v>
      </c>
      <c r="C199" s="112">
        <v>4</v>
      </c>
      <c r="D199" s="115">
        <v>0.009729343520808793</v>
      </c>
      <c r="E199" s="115">
        <v>1.6454222693490919</v>
      </c>
      <c r="F199" s="112" t="b">
        <v>0</v>
      </c>
      <c r="G199" s="112" t="b">
        <v>0</v>
      </c>
      <c r="H199" s="112" t="b">
        <v>0</v>
      </c>
      <c r="I199" s="112" t="b">
        <v>0</v>
      </c>
      <c r="J199" s="112" t="b">
        <v>0</v>
      </c>
      <c r="K199" s="112" t="b">
        <v>0</v>
      </c>
      <c r="L199" s="112" t="s">
        <v>3183</v>
      </c>
    </row>
    <row r="200" spans="1:12" ht="15">
      <c r="A200" s="114" t="s">
        <v>2708</v>
      </c>
      <c r="B200" s="116" t="s">
        <v>2706</v>
      </c>
      <c r="C200" s="112">
        <v>3</v>
      </c>
      <c r="D200" s="115">
        <v>0.008885211919525664</v>
      </c>
      <c r="E200" s="115">
        <v>1.8672710189654482</v>
      </c>
      <c r="F200" s="112" t="b">
        <v>0</v>
      </c>
      <c r="G200" s="112" t="b">
        <v>0</v>
      </c>
      <c r="H200" s="112" t="b">
        <v>0</v>
      </c>
      <c r="I200" s="112" t="b">
        <v>0</v>
      </c>
      <c r="J200" s="112" t="b">
        <v>0</v>
      </c>
      <c r="K200" s="112" t="b">
        <v>0</v>
      </c>
      <c r="L200" s="112" t="s">
        <v>3183</v>
      </c>
    </row>
    <row r="201" spans="1:12" ht="15">
      <c r="A201" s="114" t="s">
        <v>2706</v>
      </c>
      <c r="B201" s="116" t="s">
        <v>2805</v>
      </c>
      <c r="C201" s="112">
        <v>2</v>
      </c>
      <c r="D201" s="115">
        <v>0.00741577341857373</v>
      </c>
      <c r="E201" s="115">
        <v>1.8672710189654482</v>
      </c>
      <c r="F201" s="112" t="b">
        <v>0</v>
      </c>
      <c r="G201" s="112" t="b">
        <v>0</v>
      </c>
      <c r="H201" s="112" t="b">
        <v>0</v>
      </c>
      <c r="I201" s="112" t="b">
        <v>0</v>
      </c>
      <c r="J201" s="112" t="b">
        <v>0</v>
      </c>
      <c r="K201" s="112" t="b">
        <v>0</v>
      </c>
      <c r="L201" s="112" t="s">
        <v>3183</v>
      </c>
    </row>
    <row r="202" spans="1:12" ht="15">
      <c r="A202" s="114" t="s">
        <v>2651</v>
      </c>
      <c r="B202" s="116" t="s">
        <v>2643</v>
      </c>
      <c r="C202" s="112">
        <v>2</v>
      </c>
      <c r="D202" s="115">
        <v>0.00741577341857373</v>
      </c>
      <c r="E202" s="115">
        <v>1.5662410233014672</v>
      </c>
      <c r="F202" s="112" t="b">
        <v>0</v>
      </c>
      <c r="G202" s="112" t="b">
        <v>0</v>
      </c>
      <c r="H202" s="112" t="b">
        <v>0</v>
      </c>
      <c r="I202" s="112" t="b">
        <v>0</v>
      </c>
      <c r="J202" s="112" t="b">
        <v>0</v>
      </c>
      <c r="K202" s="112" t="b">
        <v>0</v>
      </c>
      <c r="L202" s="112" t="s">
        <v>3183</v>
      </c>
    </row>
    <row r="203" spans="1:12" ht="15">
      <c r="A203" s="114" t="s">
        <v>2805</v>
      </c>
      <c r="B203" s="116" t="s">
        <v>2651</v>
      </c>
      <c r="C203" s="112">
        <v>2</v>
      </c>
      <c r="D203" s="115">
        <v>0.00741577341857373</v>
      </c>
      <c r="E203" s="115">
        <v>1.8672710189654482</v>
      </c>
      <c r="F203" s="112" t="b">
        <v>0</v>
      </c>
      <c r="G203" s="112" t="b">
        <v>0</v>
      </c>
      <c r="H203" s="112" t="b">
        <v>0</v>
      </c>
      <c r="I203" s="112" t="b">
        <v>0</v>
      </c>
      <c r="J203" s="112" t="b">
        <v>0</v>
      </c>
      <c r="K203" s="112" t="b">
        <v>0</v>
      </c>
      <c r="L203" s="112" t="s">
        <v>3183</v>
      </c>
    </row>
    <row r="204" spans="1:12" ht="15">
      <c r="A204" s="114" t="s">
        <v>2637</v>
      </c>
      <c r="B204" s="116" t="s">
        <v>2373</v>
      </c>
      <c r="C204" s="112">
        <v>2</v>
      </c>
      <c r="D204" s="115">
        <v>0.00741577341857373</v>
      </c>
      <c r="E204" s="115">
        <v>0.9464522650130731</v>
      </c>
      <c r="F204" s="112" t="b">
        <v>0</v>
      </c>
      <c r="G204" s="112" t="b">
        <v>0</v>
      </c>
      <c r="H204" s="112" t="b">
        <v>0</v>
      </c>
      <c r="I204" s="112" t="b">
        <v>1</v>
      </c>
      <c r="J204" s="112" t="b">
        <v>0</v>
      </c>
      <c r="K204" s="112" t="b">
        <v>0</v>
      </c>
      <c r="L204" s="112" t="s">
        <v>3183</v>
      </c>
    </row>
    <row r="205" spans="1:12" ht="15">
      <c r="A205" s="114" t="s">
        <v>2823</v>
      </c>
      <c r="B205" s="116" t="s">
        <v>2807</v>
      </c>
      <c r="C205" s="112">
        <v>2</v>
      </c>
      <c r="D205" s="115">
        <v>0.00741577341857373</v>
      </c>
      <c r="E205" s="115">
        <v>2.0433622780211294</v>
      </c>
      <c r="F205" s="112" t="b">
        <v>1</v>
      </c>
      <c r="G205" s="112" t="b">
        <v>0</v>
      </c>
      <c r="H205" s="112" t="b">
        <v>0</v>
      </c>
      <c r="I205" s="112" t="b">
        <v>0</v>
      </c>
      <c r="J205" s="112" t="b">
        <v>0</v>
      </c>
      <c r="K205" s="112" t="b">
        <v>0</v>
      </c>
      <c r="L205" s="112" t="s">
        <v>3183</v>
      </c>
    </row>
    <row r="206" spans="1:12" ht="15">
      <c r="A206" s="114" t="s">
        <v>2374</v>
      </c>
      <c r="B206" s="116" t="s">
        <v>2823</v>
      </c>
      <c r="C206" s="112">
        <v>2</v>
      </c>
      <c r="D206" s="115">
        <v>0.00741577341857373</v>
      </c>
      <c r="E206" s="115">
        <v>1.6454222693490919</v>
      </c>
      <c r="F206" s="112" t="b">
        <v>1</v>
      </c>
      <c r="G206" s="112" t="b">
        <v>0</v>
      </c>
      <c r="H206" s="112" t="b">
        <v>0</v>
      </c>
      <c r="I206" s="112" t="b">
        <v>1</v>
      </c>
      <c r="J206" s="112" t="b">
        <v>0</v>
      </c>
      <c r="K206" s="112" t="b">
        <v>0</v>
      </c>
      <c r="L206" s="112" t="s">
        <v>3183</v>
      </c>
    </row>
    <row r="207" spans="1:12" ht="15">
      <c r="A207" s="114" t="s">
        <v>2807</v>
      </c>
      <c r="B207" s="116" t="s">
        <v>2824</v>
      </c>
      <c r="C207" s="112">
        <v>2</v>
      </c>
      <c r="D207" s="115">
        <v>0.00741577341857373</v>
      </c>
      <c r="E207" s="115">
        <v>2.0433622780211294</v>
      </c>
      <c r="F207" s="112" t="b">
        <v>0</v>
      </c>
      <c r="G207" s="112" t="b">
        <v>0</v>
      </c>
      <c r="H207" s="112" t="b">
        <v>0</v>
      </c>
      <c r="I207" s="112" t="b">
        <v>0</v>
      </c>
      <c r="J207" s="112" t="b">
        <v>0</v>
      </c>
      <c r="K207" s="112" t="b">
        <v>0</v>
      </c>
      <c r="L207" s="112" t="s">
        <v>3183</v>
      </c>
    </row>
    <row r="208" spans="1:12" ht="15">
      <c r="A208" s="114" t="s">
        <v>2824</v>
      </c>
      <c r="B208" s="116" t="s">
        <v>357</v>
      </c>
      <c r="C208" s="112">
        <v>2</v>
      </c>
      <c r="D208" s="115">
        <v>0.00741577341857373</v>
      </c>
      <c r="E208" s="115">
        <v>2.0433622780211294</v>
      </c>
      <c r="F208" s="112" t="b">
        <v>0</v>
      </c>
      <c r="G208" s="112" t="b">
        <v>0</v>
      </c>
      <c r="H208" s="112" t="b">
        <v>0</v>
      </c>
      <c r="I208" s="112" t="b">
        <v>0</v>
      </c>
      <c r="J208" s="112" t="b">
        <v>0</v>
      </c>
      <c r="K208" s="112" t="b">
        <v>0</v>
      </c>
      <c r="L208" s="112" t="s">
        <v>3183</v>
      </c>
    </row>
    <row r="209" spans="1:12" ht="15">
      <c r="A209" s="114" t="s">
        <v>681</v>
      </c>
      <c r="B209" s="116" t="s">
        <v>2373</v>
      </c>
      <c r="C209" s="112">
        <v>4</v>
      </c>
      <c r="D209" s="115">
        <v>0</v>
      </c>
      <c r="E209" s="115">
        <v>0.9902401627108438</v>
      </c>
      <c r="F209" s="112" t="b">
        <v>1</v>
      </c>
      <c r="G209" s="112" t="b">
        <v>0</v>
      </c>
      <c r="H209" s="112" t="b">
        <v>0</v>
      </c>
      <c r="I209" s="112" t="b">
        <v>1</v>
      </c>
      <c r="J209" s="112" t="b">
        <v>0</v>
      </c>
      <c r="K209" s="112" t="b">
        <v>0</v>
      </c>
      <c r="L209" s="112" t="s">
        <v>3184</v>
      </c>
    </row>
    <row r="210" spans="1:12" ht="15">
      <c r="A210" s="114" t="s">
        <v>2373</v>
      </c>
      <c r="B210" s="116" t="s">
        <v>2373</v>
      </c>
      <c r="C210" s="112">
        <v>3</v>
      </c>
      <c r="D210" s="115">
        <v>0.009816195510781995</v>
      </c>
      <c r="E210" s="115">
        <v>0.5131189079911812</v>
      </c>
      <c r="F210" s="112" t="b">
        <v>1</v>
      </c>
      <c r="G210" s="112" t="b">
        <v>0</v>
      </c>
      <c r="H210" s="112" t="b">
        <v>0</v>
      </c>
      <c r="I210" s="112" t="b">
        <v>1</v>
      </c>
      <c r="J210" s="112" t="b">
        <v>0</v>
      </c>
      <c r="K210" s="112" t="b">
        <v>0</v>
      </c>
      <c r="L210" s="112" t="s">
        <v>3184</v>
      </c>
    </row>
    <row r="211" spans="1:12" ht="15">
      <c r="A211" s="114" t="s">
        <v>2373</v>
      </c>
      <c r="B211" s="116" t="s">
        <v>2374</v>
      </c>
      <c r="C211" s="112">
        <v>3</v>
      </c>
      <c r="D211" s="115">
        <v>0.004074089237227171</v>
      </c>
      <c r="E211" s="115">
        <v>0.8653014261025437</v>
      </c>
      <c r="F211" s="112" t="b">
        <v>1</v>
      </c>
      <c r="G211" s="112" t="b">
        <v>0</v>
      </c>
      <c r="H211" s="112" t="b">
        <v>0</v>
      </c>
      <c r="I211" s="112" t="b">
        <v>1</v>
      </c>
      <c r="J211" s="112" t="b">
        <v>0</v>
      </c>
      <c r="K211" s="112" t="b">
        <v>0</v>
      </c>
      <c r="L211" s="112" t="s">
        <v>3184</v>
      </c>
    </row>
    <row r="212" spans="1:12" ht="15">
      <c r="A212" s="114" t="s">
        <v>2846</v>
      </c>
      <c r="B212" s="116" t="s">
        <v>2373</v>
      </c>
      <c r="C212" s="112">
        <v>2</v>
      </c>
      <c r="D212" s="115">
        <v>0.00654413034052133</v>
      </c>
      <c r="E212" s="115">
        <v>0.9902401627108438</v>
      </c>
      <c r="F212" s="112" t="b">
        <v>0</v>
      </c>
      <c r="G212" s="112" t="b">
        <v>1</v>
      </c>
      <c r="H212" s="112" t="b">
        <v>0</v>
      </c>
      <c r="I212" s="112" t="b">
        <v>1</v>
      </c>
      <c r="J212" s="112" t="b">
        <v>0</v>
      </c>
      <c r="K212" s="112" t="b">
        <v>0</v>
      </c>
      <c r="L212" s="112" t="s">
        <v>3184</v>
      </c>
    </row>
    <row r="213" spans="1:12" ht="15">
      <c r="A213" s="114" t="s">
        <v>2760</v>
      </c>
      <c r="B213" s="116" t="s">
        <v>2638</v>
      </c>
      <c r="C213" s="112">
        <v>2</v>
      </c>
      <c r="D213" s="115">
        <v>0.00654413034052133</v>
      </c>
      <c r="E213" s="115">
        <v>1.4673614174305063</v>
      </c>
      <c r="F213" s="112" t="b">
        <v>0</v>
      </c>
      <c r="G213" s="112" t="b">
        <v>0</v>
      </c>
      <c r="H213" s="112" t="b">
        <v>0</v>
      </c>
      <c r="I213" s="112" t="b">
        <v>0</v>
      </c>
      <c r="J213" s="112" t="b">
        <v>0</v>
      </c>
      <c r="K213" s="112" t="b">
        <v>0</v>
      </c>
      <c r="L213" s="112" t="s">
        <v>3184</v>
      </c>
    </row>
    <row r="214" spans="1:12" ht="15">
      <c r="A214" s="114" t="s">
        <v>2638</v>
      </c>
      <c r="B214" s="116" t="s">
        <v>2729</v>
      </c>
      <c r="C214" s="112">
        <v>2</v>
      </c>
      <c r="D214" s="115">
        <v>0.00654413034052133</v>
      </c>
      <c r="E214" s="115">
        <v>1.0694214087584686</v>
      </c>
      <c r="F214" s="112" t="b">
        <v>0</v>
      </c>
      <c r="G214" s="112" t="b">
        <v>0</v>
      </c>
      <c r="H214" s="112" t="b">
        <v>0</v>
      </c>
      <c r="I214" s="112" t="b">
        <v>0</v>
      </c>
      <c r="J214" s="112" t="b">
        <v>0</v>
      </c>
      <c r="K214" s="112" t="b">
        <v>0</v>
      </c>
      <c r="L214" s="112" t="s">
        <v>3184</v>
      </c>
    </row>
    <row r="215" spans="1:12" ht="15">
      <c r="A215" s="114" t="s">
        <v>2373</v>
      </c>
      <c r="B215" s="116" t="s">
        <v>2846</v>
      </c>
      <c r="C215" s="112">
        <v>2</v>
      </c>
      <c r="D215" s="115">
        <v>0.00654413034052133</v>
      </c>
      <c r="E215" s="115">
        <v>0.9902401627108438</v>
      </c>
      <c r="F215" s="112" t="b">
        <v>1</v>
      </c>
      <c r="G215" s="112" t="b">
        <v>0</v>
      </c>
      <c r="H215" s="112" t="b">
        <v>0</v>
      </c>
      <c r="I215" s="112" t="b">
        <v>0</v>
      </c>
      <c r="J215" s="112" t="b">
        <v>1</v>
      </c>
      <c r="K215" s="112" t="b">
        <v>0</v>
      </c>
      <c r="L215" s="112" t="s">
        <v>3184</v>
      </c>
    </row>
    <row r="216" spans="1:12" ht="15">
      <c r="A216" s="114" t="s">
        <v>2800</v>
      </c>
      <c r="B216" s="116" t="s">
        <v>2729</v>
      </c>
      <c r="C216" s="112">
        <v>2</v>
      </c>
      <c r="D216" s="115">
        <v>0.01308826068104266</v>
      </c>
      <c r="E216" s="115">
        <v>1.24551266781415</v>
      </c>
      <c r="F216" s="112" t="b">
        <v>1</v>
      </c>
      <c r="G216" s="112" t="b">
        <v>0</v>
      </c>
      <c r="H216" s="112" t="b">
        <v>0</v>
      </c>
      <c r="I216" s="112" t="b">
        <v>0</v>
      </c>
      <c r="J216" s="112" t="b">
        <v>0</v>
      </c>
      <c r="K216" s="112" t="b">
        <v>0</v>
      </c>
      <c r="L216" s="112" t="s">
        <v>3184</v>
      </c>
    </row>
    <row r="217" spans="1:12" ht="15">
      <c r="A217" s="114" t="s">
        <v>2373</v>
      </c>
      <c r="B217" s="116" t="s">
        <v>2374</v>
      </c>
      <c r="C217" s="112">
        <v>6</v>
      </c>
      <c r="D217" s="115">
        <v>0.011288624837399295</v>
      </c>
      <c r="E217" s="115">
        <v>0.865627595462151</v>
      </c>
      <c r="F217" s="112" t="b">
        <v>1</v>
      </c>
      <c r="G217" s="112" t="b">
        <v>0</v>
      </c>
      <c r="H217" s="112" t="b">
        <v>0</v>
      </c>
      <c r="I217" s="112" t="b">
        <v>1</v>
      </c>
      <c r="J217" s="112" t="b">
        <v>0</v>
      </c>
      <c r="K217" s="112" t="b">
        <v>0</v>
      </c>
      <c r="L217" s="112" t="s">
        <v>3185</v>
      </c>
    </row>
    <row r="218" spans="1:12" ht="15">
      <c r="A218" s="114" t="s">
        <v>681</v>
      </c>
      <c r="B218" s="116" t="s">
        <v>2373</v>
      </c>
      <c r="C218" s="112">
        <v>6</v>
      </c>
      <c r="D218" s="115">
        <v>0.011288624837399295</v>
      </c>
      <c r="E218" s="115">
        <v>0.907020280620376</v>
      </c>
      <c r="F218" s="112" t="b">
        <v>1</v>
      </c>
      <c r="G218" s="112" t="b">
        <v>0</v>
      </c>
      <c r="H218" s="112" t="b">
        <v>0</v>
      </c>
      <c r="I218" s="112" t="b">
        <v>1</v>
      </c>
      <c r="J218" s="112" t="b">
        <v>0</v>
      </c>
      <c r="K218" s="112" t="b">
        <v>0</v>
      </c>
      <c r="L218" s="112" t="s">
        <v>3185</v>
      </c>
    </row>
    <row r="219" spans="1:12" ht="15">
      <c r="A219" s="114" t="s">
        <v>2645</v>
      </c>
      <c r="B219" s="116" t="s">
        <v>2374</v>
      </c>
      <c r="C219" s="112">
        <v>5</v>
      </c>
      <c r="D219" s="115">
        <v>0.011881601303487688</v>
      </c>
      <c r="E219" s="115">
        <v>1.1288690302367324</v>
      </c>
      <c r="F219" s="112" t="b">
        <v>0</v>
      </c>
      <c r="G219" s="112" t="b">
        <v>0</v>
      </c>
      <c r="H219" s="112" t="b">
        <v>0</v>
      </c>
      <c r="I219" s="112" t="b">
        <v>1</v>
      </c>
      <c r="J219" s="112" t="b">
        <v>0</v>
      </c>
      <c r="K219" s="112" t="b">
        <v>0</v>
      </c>
      <c r="L219" s="112" t="s">
        <v>3185</v>
      </c>
    </row>
    <row r="220" spans="1:12" ht="15">
      <c r="A220" s="114" t="s">
        <v>2688</v>
      </c>
      <c r="B220" s="116" t="s">
        <v>2671</v>
      </c>
      <c r="C220" s="112">
        <v>5</v>
      </c>
      <c r="D220" s="115">
        <v>0.011881601303487688</v>
      </c>
      <c r="E220" s="115">
        <v>1.4712917110589385</v>
      </c>
      <c r="F220" s="112" t="b">
        <v>1</v>
      </c>
      <c r="G220" s="112" t="b">
        <v>0</v>
      </c>
      <c r="H220" s="112" t="b">
        <v>0</v>
      </c>
      <c r="I220" s="112" t="b">
        <v>1</v>
      </c>
      <c r="J220" s="112" t="b">
        <v>0</v>
      </c>
      <c r="K220" s="112" t="b">
        <v>0</v>
      </c>
      <c r="L220" s="112" t="s">
        <v>3185</v>
      </c>
    </row>
    <row r="221" spans="1:12" ht="15">
      <c r="A221" s="114" t="s">
        <v>2373</v>
      </c>
      <c r="B221" s="116" t="s">
        <v>2645</v>
      </c>
      <c r="C221" s="112">
        <v>5</v>
      </c>
      <c r="D221" s="115">
        <v>0.011881601303487688</v>
      </c>
      <c r="E221" s="115">
        <v>1.1288690302367324</v>
      </c>
      <c r="F221" s="112" t="b">
        <v>1</v>
      </c>
      <c r="G221" s="112" t="b">
        <v>0</v>
      </c>
      <c r="H221" s="112" t="b">
        <v>0</v>
      </c>
      <c r="I221" s="112" t="b">
        <v>0</v>
      </c>
      <c r="J221" s="112" t="b">
        <v>0</v>
      </c>
      <c r="K221" s="112" t="b">
        <v>0</v>
      </c>
      <c r="L221" s="112" t="s">
        <v>3185</v>
      </c>
    </row>
    <row r="222" spans="1:12" ht="15">
      <c r="A222" s="114" t="s">
        <v>2671</v>
      </c>
      <c r="B222" s="116" t="s">
        <v>2376</v>
      </c>
      <c r="C222" s="112">
        <v>5</v>
      </c>
      <c r="D222" s="115">
        <v>0.011881601303487688</v>
      </c>
      <c r="E222" s="115">
        <v>1.2160192059556325</v>
      </c>
      <c r="F222" s="112" t="b">
        <v>1</v>
      </c>
      <c r="G222" s="112" t="b">
        <v>0</v>
      </c>
      <c r="H222" s="112" t="b">
        <v>0</v>
      </c>
      <c r="I222" s="112" t="b">
        <v>0</v>
      </c>
      <c r="J222" s="112" t="b">
        <v>0</v>
      </c>
      <c r="K222" s="112" t="b">
        <v>0</v>
      </c>
      <c r="L222" s="112" t="s">
        <v>3185</v>
      </c>
    </row>
    <row r="223" spans="1:12" ht="15">
      <c r="A223" s="114" t="s">
        <v>2376</v>
      </c>
      <c r="B223" s="116" t="s">
        <v>2829</v>
      </c>
      <c r="C223" s="112">
        <v>3</v>
      </c>
      <c r="D223" s="115">
        <v>0.011288624837399295</v>
      </c>
      <c r="E223" s="115">
        <v>1.2671717284030137</v>
      </c>
      <c r="F223" s="112" t="b">
        <v>0</v>
      </c>
      <c r="G223" s="112" t="b">
        <v>0</v>
      </c>
      <c r="H223" s="112" t="b">
        <v>0</v>
      </c>
      <c r="I223" s="112" t="b">
        <v>0</v>
      </c>
      <c r="J223" s="112" t="b">
        <v>0</v>
      </c>
      <c r="K223" s="112" t="b">
        <v>0</v>
      </c>
      <c r="L223" s="112" t="s">
        <v>3185</v>
      </c>
    </row>
    <row r="224" spans="1:12" ht="15">
      <c r="A224" s="114" t="s">
        <v>2376</v>
      </c>
      <c r="B224" s="116" t="s">
        <v>2688</v>
      </c>
      <c r="C224" s="112">
        <v>3</v>
      </c>
      <c r="D224" s="115">
        <v>0.011288624837399295</v>
      </c>
      <c r="E224" s="115">
        <v>1.0453229787866574</v>
      </c>
      <c r="F224" s="112" t="b">
        <v>0</v>
      </c>
      <c r="G224" s="112" t="b">
        <v>0</v>
      </c>
      <c r="H224" s="112" t="b">
        <v>0</v>
      </c>
      <c r="I224" s="112" t="b">
        <v>1</v>
      </c>
      <c r="J224" s="112" t="b">
        <v>0</v>
      </c>
      <c r="K224" s="112" t="b">
        <v>0</v>
      </c>
      <c r="L224" s="112" t="s">
        <v>3185</v>
      </c>
    </row>
    <row r="225" spans="1:12" ht="15">
      <c r="A225" s="114" t="s">
        <v>2374</v>
      </c>
      <c r="B225" s="116" t="s">
        <v>2376</v>
      </c>
      <c r="C225" s="112">
        <v>3</v>
      </c>
      <c r="D225" s="115">
        <v>0.011288624837399295</v>
      </c>
      <c r="E225" s="115">
        <v>0.8480424206610381</v>
      </c>
      <c r="F225" s="112" t="b">
        <v>1</v>
      </c>
      <c r="G225" s="112" t="b">
        <v>0</v>
      </c>
      <c r="H225" s="112" t="b">
        <v>0</v>
      </c>
      <c r="I225" s="112" t="b">
        <v>0</v>
      </c>
      <c r="J225" s="112" t="b">
        <v>0</v>
      </c>
      <c r="K225" s="112" t="b">
        <v>0</v>
      </c>
      <c r="L225" s="112" t="s">
        <v>3185</v>
      </c>
    </row>
    <row r="226" spans="1:12" ht="15">
      <c r="A226" s="114" t="s">
        <v>681</v>
      </c>
      <c r="B226" s="116" t="s">
        <v>2380</v>
      </c>
      <c r="C226" s="112">
        <v>2</v>
      </c>
      <c r="D226" s="115">
        <v>0.009726890629795546</v>
      </c>
      <c r="E226" s="115">
        <v>1.1702617153949573</v>
      </c>
      <c r="F226" s="112" t="b">
        <v>1</v>
      </c>
      <c r="G226" s="112" t="b">
        <v>0</v>
      </c>
      <c r="H226" s="112" t="b">
        <v>0</v>
      </c>
      <c r="I226" s="112" t="b">
        <v>0</v>
      </c>
      <c r="J226" s="112" t="b">
        <v>0</v>
      </c>
      <c r="K226" s="112" t="b">
        <v>0</v>
      </c>
      <c r="L226" s="112" t="s">
        <v>3185</v>
      </c>
    </row>
    <row r="227" spans="1:12" ht="15">
      <c r="A227" s="114" t="s">
        <v>2873</v>
      </c>
      <c r="B227" s="116" t="s">
        <v>2977</v>
      </c>
      <c r="C227" s="112">
        <v>2</v>
      </c>
      <c r="D227" s="115">
        <v>0.009726890629795546</v>
      </c>
      <c r="E227" s="115">
        <v>1.869231719730976</v>
      </c>
      <c r="F227" s="112" t="b">
        <v>0</v>
      </c>
      <c r="G227" s="112" t="b">
        <v>0</v>
      </c>
      <c r="H227" s="112" t="b">
        <v>0</v>
      </c>
      <c r="I227" s="112" t="b">
        <v>0</v>
      </c>
      <c r="J227" s="112" t="b">
        <v>0</v>
      </c>
      <c r="K227" s="112" t="b">
        <v>0</v>
      </c>
      <c r="L227" s="112" t="s">
        <v>3185</v>
      </c>
    </row>
    <row r="228" spans="1:12" ht="15">
      <c r="A228" s="114" t="s">
        <v>2849</v>
      </c>
      <c r="B228" s="116" t="s">
        <v>2673</v>
      </c>
      <c r="C228" s="112">
        <v>2</v>
      </c>
      <c r="D228" s="115">
        <v>0.013489765575595312</v>
      </c>
      <c r="E228" s="115">
        <v>1.869231719730976</v>
      </c>
      <c r="F228" s="112" t="b">
        <v>1</v>
      </c>
      <c r="G228" s="112" t="b">
        <v>0</v>
      </c>
      <c r="H228" s="112" t="b">
        <v>0</v>
      </c>
      <c r="I228" s="112" t="b">
        <v>0</v>
      </c>
      <c r="J228" s="112" t="b">
        <v>0</v>
      </c>
      <c r="K228" s="112" t="b">
        <v>0</v>
      </c>
      <c r="L228" s="112" t="s">
        <v>3185</v>
      </c>
    </row>
    <row r="229" spans="1:12" ht="15">
      <c r="A229" s="114" t="s">
        <v>2666</v>
      </c>
      <c r="B229" s="116" t="s">
        <v>2897</v>
      </c>
      <c r="C229" s="112">
        <v>2</v>
      </c>
      <c r="D229" s="115">
        <v>0.009726890629795546</v>
      </c>
      <c r="E229" s="115">
        <v>1.869231719730976</v>
      </c>
      <c r="F229" s="112" t="b">
        <v>0</v>
      </c>
      <c r="G229" s="112" t="b">
        <v>0</v>
      </c>
      <c r="H229" s="112" t="b">
        <v>0</v>
      </c>
      <c r="I229" s="112" t="b">
        <v>0</v>
      </c>
      <c r="J229" s="112" t="b">
        <v>0</v>
      </c>
      <c r="K229" s="112" t="b">
        <v>0</v>
      </c>
      <c r="L229" s="112" t="s">
        <v>3185</v>
      </c>
    </row>
    <row r="230" spans="1:12" ht="15">
      <c r="A230" s="114" t="s">
        <v>2380</v>
      </c>
      <c r="B230" s="116" t="s">
        <v>2373</v>
      </c>
      <c r="C230" s="112">
        <v>2</v>
      </c>
      <c r="D230" s="115">
        <v>0.009726890629795546</v>
      </c>
      <c r="E230" s="115">
        <v>1.1288690302367324</v>
      </c>
      <c r="F230" s="112" t="b">
        <v>0</v>
      </c>
      <c r="G230" s="112" t="b">
        <v>0</v>
      </c>
      <c r="H230" s="112" t="b">
        <v>0</v>
      </c>
      <c r="I230" s="112" t="b">
        <v>1</v>
      </c>
      <c r="J230" s="112" t="b">
        <v>0</v>
      </c>
      <c r="K230" s="112" t="b">
        <v>0</v>
      </c>
      <c r="L230" s="112" t="s">
        <v>3185</v>
      </c>
    </row>
    <row r="231" spans="1:12" ht="15">
      <c r="A231" s="114" t="s">
        <v>2829</v>
      </c>
      <c r="B231" s="116" t="s">
        <v>2663</v>
      </c>
      <c r="C231" s="112">
        <v>2</v>
      </c>
      <c r="D231" s="115">
        <v>0.009726890629795546</v>
      </c>
      <c r="E231" s="115">
        <v>1.3921104650113136</v>
      </c>
      <c r="F231" s="112" t="b">
        <v>0</v>
      </c>
      <c r="G231" s="112" t="b">
        <v>0</v>
      </c>
      <c r="H231" s="112" t="b">
        <v>0</v>
      </c>
      <c r="I231" s="112" t="b">
        <v>0</v>
      </c>
      <c r="J231" s="112" t="b">
        <v>1</v>
      </c>
      <c r="K231" s="112" t="b">
        <v>0</v>
      </c>
      <c r="L231" s="112" t="s">
        <v>3185</v>
      </c>
    </row>
    <row r="232" spans="1:12" ht="15">
      <c r="A232" s="114" t="s">
        <v>2376</v>
      </c>
      <c r="B232" s="116" t="s">
        <v>2373</v>
      </c>
      <c r="C232" s="112">
        <v>2</v>
      </c>
      <c r="D232" s="115">
        <v>0.009726890629795546</v>
      </c>
      <c r="E232" s="115">
        <v>0.52680903890877</v>
      </c>
      <c r="F232" s="112" t="b">
        <v>0</v>
      </c>
      <c r="G232" s="112" t="b">
        <v>0</v>
      </c>
      <c r="H232" s="112" t="b">
        <v>0</v>
      </c>
      <c r="I232" s="112" t="b">
        <v>1</v>
      </c>
      <c r="J232" s="112" t="b">
        <v>0</v>
      </c>
      <c r="K232" s="112" t="b">
        <v>0</v>
      </c>
      <c r="L232" s="112" t="s">
        <v>3185</v>
      </c>
    </row>
    <row r="233" spans="1:12" ht="15">
      <c r="A233" s="114" t="s">
        <v>2977</v>
      </c>
      <c r="B233" s="116" t="s">
        <v>3028</v>
      </c>
      <c r="C233" s="112">
        <v>2</v>
      </c>
      <c r="D233" s="115">
        <v>0.009726890629795546</v>
      </c>
      <c r="E233" s="115">
        <v>1.869231719730976</v>
      </c>
      <c r="F233" s="112" t="b">
        <v>0</v>
      </c>
      <c r="G233" s="112" t="b">
        <v>0</v>
      </c>
      <c r="H233" s="112" t="b">
        <v>0</v>
      </c>
      <c r="I233" s="112" t="b">
        <v>1</v>
      </c>
      <c r="J233" s="112" t="b">
        <v>0</v>
      </c>
      <c r="K233" s="112" t="b">
        <v>0</v>
      </c>
      <c r="L233" s="112" t="s">
        <v>3185</v>
      </c>
    </row>
    <row r="234" spans="1:12" ht="15">
      <c r="A234" s="114" t="s">
        <v>2890</v>
      </c>
      <c r="B234" s="116" t="s">
        <v>681</v>
      </c>
      <c r="C234" s="112">
        <v>2</v>
      </c>
      <c r="D234" s="115">
        <v>0.009726890629795546</v>
      </c>
      <c r="E234" s="115">
        <v>1.1702617153949573</v>
      </c>
      <c r="F234" s="112" t="b">
        <v>0</v>
      </c>
      <c r="G234" s="112" t="b">
        <v>0</v>
      </c>
      <c r="H234" s="112" t="b">
        <v>0</v>
      </c>
      <c r="I234" s="112" t="b">
        <v>1</v>
      </c>
      <c r="J234" s="112" t="b">
        <v>0</v>
      </c>
      <c r="K234" s="112" t="b">
        <v>0</v>
      </c>
      <c r="L234" s="112" t="s">
        <v>3185</v>
      </c>
    </row>
    <row r="235" spans="1:12" ht="15">
      <c r="A235" s="114" t="s">
        <v>2374</v>
      </c>
      <c r="B235" s="116" t="s">
        <v>2666</v>
      </c>
      <c r="C235" s="112">
        <v>2</v>
      </c>
      <c r="D235" s="115">
        <v>0.009726890629795546</v>
      </c>
      <c r="E235" s="115">
        <v>1.3251636753807006</v>
      </c>
      <c r="F235" s="112" t="b">
        <v>1</v>
      </c>
      <c r="G235" s="112" t="b">
        <v>0</v>
      </c>
      <c r="H235" s="112" t="b">
        <v>0</v>
      </c>
      <c r="I235" s="112" t="b">
        <v>0</v>
      </c>
      <c r="J235" s="112" t="b">
        <v>0</v>
      </c>
      <c r="K235" s="112" t="b">
        <v>0</v>
      </c>
      <c r="L235" s="112" t="s">
        <v>3185</v>
      </c>
    </row>
    <row r="236" spans="1:12" ht="15">
      <c r="A236" s="114" t="s">
        <v>2735</v>
      </c>
      <c r="B236" s="116" t="s">
        <v>2664</v>
      </c>
      <c r="C236" s="112">
        <v>2</v>
      </c>
      <c r="D236" s="115">
        <v>0.013489765575595312</v>
      </c>
      <c r="E236" s="115">
        <v>1.693140460675295</v>
      </c>
      <c r="F236" s="112" t="b">
        <v>0</v>
      </c>
      <c r="G236" s="112" t="b">
        <v>0</v>
      </c>
      <c r="H236" s="112" t="b">
        <v>0</v>
      </c>
      <c r="I236" s="112" t="b">
        <v>0</v>
      </c>
      <c r="J236" s="112" t="b">
        <v>0</v>
      </c>
      <c r="K236" s="112" t="b">
        <v>0</v>
      </c>
      <c r="L236" s="112" t="s">
        <v>3185</v>
      </c>
    </row>
    <row r="237" spans="1:12" ht="15">
      <c r="A237" s="114" t="s">
        <v>2862</v>
      </c>
      <c r="B237" s="116" t="s">
        <v>2927</v>
      </c>
      <c r="C237" s="112">
        <v>2</v>
      </c>
      <c r="D237" s="115">
        <v>0.009726890629795546</v>
      </c>
      <c r="E237" s="115">
        <v>1.869231719730976</v>
      </c>
      <c r="F237" s="112" t="b">
        <v>0</v>
      </c>
      <c r="G237" s="112" t="b">
        <v>0</v>
      </c>
      <c r="H237" s="112" t="b">
        <v>0</v>
      </c>
      <c r="I237" s="112" t="b">
        <v>0</v>
      </c>
      <c r="J237" s="112" t="b">
        <v>0</v>
      </c>
      <c r="K237" s="112" t="b">
        <v>0</v>
      </c>
      <c r="L237" s="112" t="s">
        <v>3185</v>
      </c>
    </row>
    <row r="238" spans="1:12" ht="15">
      <c r="A238" s="114" t="s">
        <v>3028</v>
      </c>
      <c r="B238" s="116" t="s">
        <v>2890</v>
      </c>
      <c r="C238" s="112">
        <v>2</v>
      </c>
      <c r="D238" s="115">
        <v>0.009726890629795546</v>
      </c>
      <c r="E238" s="115">
        <v>1.869231719730976</v>
      </c>
      <c r="F238" s="112" t="b">
        <v>1</v>
      </c>
      <c r="G238" s="112" t="b">
        <v>0</v>
      </c>
      <c r="H238" s="112" t="b">
        <v>0</v>
      </c>
      <c r="I238" s="112" t="b">
        <v>0</v>
      </c>
      <c r="J238" s="112" t="b">
        <v>0</v>
      </c>
      <c r="K238" s="112" t="b">
        <v>0</v>
      </c>
      <c r="L238" s="112" t="s">
        <v>3185</v>
      </c>
    </row>
    <row r="239" spans="1:12" ht="15">
      <c r="A239" s="114" t="s">
        <v>338</v>
      </c>
      <c r="B239" s="116" t="s">
        <v>681</v>
      </c>
      <c r="C239" s="112">
        <v>2</v>
      </c>
      <c r="D239" s="115">
        <v>0.009726890629795546</v>
      </c>
      <c r="E239" s="115">
        <v>0.8692317197309761</v>
      </c>
      <c r="F239" s="112" t="b">
        <v>0</v>
      </c>
      <c r="G239" s="112" t="b">
        <v>0</v>
      </c>
      <c r="H239" s="112" t="b">
        <v>0</v>
      </c>
      <c r="I239" s="112" t="b">
        <v>1</v>
      </c>
      <c r="J239" s="112" t="b">
        <v>0</v>
      </c>
      <c r="K239" s="112" t="b">
        <v>0</v>
      </c>
      <c r="L239" s="112" t="s">
        <v>3185</v>
      </c>
    </row>
    <row r="240" spans="1:12" ht="15">
      <c r="A240" s="114" t="s">
        <v>2740</v>
      </c>
      <c r="B240" s="116" t="s">
        <v>2873</v>
      </c>
      <c r="C240" s="112">
        <v>2</v>
      </c>
      <c r="D240" s="115">
        <v>0.009726890629795546</v>
      </c>
      <c r="E240" s="115">
        <v>1.869231719730976</v>
      </c>
      <c r="F240" s="112" t="b">
        <v>0</v>
      </c>
      <c r="G240" s="112" t="b">
        <v>0</v>
      </c>
      <c r="H240" s="112" t="b">
        <v>0</v>
      </c>
      <c r="I240" s="112" t="b">
        <v>0</v>
      </c>
      <c r="J240" s="112" t="b">
        <v>0</v>
      </c>
      <c r="K240" s="112" t="b">
        <v>0</v>
      </c>
      <c r="L240" s="112" t="s">
        <v>3185</v>
      </c>
    </row>
    <row r="241" spans="1:12" ht="15">
      <c r="A241" s="114" t="s">
        <v>2927</v>
      </c>
      <c r="B241" s="116" t="s">
        <v>2740</v>
      </c>
      <c r="C241" s="112">
        <v>2</v>
      </c>
      <c r="D241" s="115">
        <v>0.009726890629795546</v>
      </c>
      <c r="E241" s="115">
        <v>1.869231719730976</v>
      </c>
      <c r="F241" s="112" t="b">
        <v>0</v>
      </c>
      <c r="G241" s="112" t="b">
        <v>0</v>
      </c>
      <c r="H241" s="112" t="b">
        <v>0</v>
      </c>
      <c r="I241" s="112" t="b">
        <v>0</v>
      </c>
      <c r="J241" s="112" t="b">
        <v>0</v>
      </c>
      <c r="K241" s="112" t="b">
        <v>0</v>
      </c>
      <c r="L241" s="112" t="s">
        <v>3185</v>
      </c>
    </row>
    <row r="242" spans="1:12" ht="15">
      <c r="A242" s="114" t="s">
        <v>318</v>
      </c>
      <c r="B242" s="116" t="s">
        <v>2375</v>
      </c>
      <c r="C242" s="112">
        <v>4</v>
      </c>
      <c r="D242" s="115">
        <v>0.022739429066973578</v>
      </c>
      <c r="E242" s="115">
        <v>0.5228787452803375</v>
      </c>
      <c r="F242" s="112" t="b">
        <v>0</v>
      </c>
      <c r="G242" s="112" t="b">
        <v>0</v>
      </c>
      <c r="H242" s="112" t="b">
        <v>0</v>
      </c>
      <c r="I242" s="112" t="b">
        <v>1</v>
      </c>
      <c r="J242" s="112" t="b">
        <v>0</v>
      </c>
      <c r="K242" s="112" t="b">
        <v>0</v>
      </c>
      <c r="L242" s="112" t="s">
        <v>3186</v>
      </c>
    </row>
    <row r="243" spans="1:12" ht="15">
      <c r="A243" s="114" t="s">
        <v>2373</v>
      </c>
      <c r="B243" s="116" t="s">
        <v>2374</v>
      </c>
      <c r="C243" s="112">
        <v>3</v>
      </c>
      <c r="D243" s="115">
        <v>0.02240908908344304</v>
      </c>
      <c r="E243" s="115">
        <v>1.301029995663981</v>
      </c>
      <c r="F243" s="112" t="b">
        <v>1</v>
      </c>
      <c r="G243" s="112" t="b">
        <v>0</v>
      </c>
      <c r="H243" s="112" t="b">
        <v>0</v>
      </c>
      <c r="I243" s="112" t="b">
        <v>1</v>
      </c>
      <c r="J243" s="112" t="b">
        <v>0</v>
      </c>
      <c r="K243" s="112" t="b">
        <v>0</v>
      </c>
      <c r="L243" s="112" t="s">
        <v>3186</v>
      </c>
    </row>
    <row r="244" spans="1:12" ht="15">
      <c r="A244" s="114" t="s">
        <v>318</v>
      </c>
      <c r="B244" s="116" t="s">
        <v>681</v>
      </c>
      <c r="C244" s="112">
        <v>2</v>
      </c>
      <c r="D244" s="115">
        <v>0.01997057155245768</v>
      </c>
      <c r="E244" s="115">
        <v>0.8239087409443188</v>
      </c>
      <c r="F244" s="112" t="b">
        <v>0</v>
      </c>
      <c r="G244" s="112" t="b">
        <v>0</v>
      </c>
      <c r="H244" s="112" t="b">
        <v>0</v>
      </c>
      <c r="I244" s="112" t="b">
        <v>1</v>
      </c>
      <c r="J244" s="112" t="b">
        <v>0</v>
      </c>
      <c r="K244" s="112" t="b">
        <v>0</v>
      </c>
      <c r="L244" s="112" t="s">
        <v>3186</v>
      </c>
    </row>
    <row r="245" spans="1:12" ht="15">
      <c r="A245" s="114" t="s">
        <v>681</v>
      </c>
      <c r="B245" s="116" t="s">
        <v>2373</v>
      </c>
      <c r="C245" s="112">
        <v>2</v>
      </c>
      <c r="D245" s="115">
        <v>0.01997057155245768</v>
      </c>
      <c r="E245" s="115">
        <v>1.3010299956639813</v>
      </c>
      <c r="F245" s="112" t="b">
        <v>1</v>
      </c>
      <c r="G245" s="112" t="b">
        <v>0</v>
      </c>
      <c r="H245" s="112" t="b">
        <v>0</v>
      </c>
      <c r="I245" s="112" t="b">
        <v>1</v>
      </c>
      <c r="J245" s="112" t="b">
        <v>0</v>
      </c>
      <c r="K245" s="112" t="b">
        <v>0</v>
      </c>
      <c r="L245" s="112" t="s">
        <v>3186</v>
      </c>
    </row>
    <row r="246" spans="1:12" ht="15">
      <c r="A246" s="114" t="s">
        <v>2373</v>
      </c>
      <c r="B246" s="116" t="s">
        <v>2374</v>
      </c>
      <c r="C246" s="112">
        <v>3</v>
      </c>
      <c r="D246" s="115">
        <v>0.0048580018164165635</v>
      </c>
      <c r="E246" s="115">
        <v>1.6434526764861874</v>
      </c>
      <c r="F246" s="112" t="b">
        <v>1</v>
      </c>
      <c r="G246" s="112" t="b">
        <v>0</v>
      </c>
      <c r="H246" s="112" t="b">
        <v>0</v>
      </c>
      <c r="I246" s="112" t="b">
        <v>1</v>
      </c>
      <c r="J246" s="112" t="b">
        <v>0</v>
      </c>
      <c r="K246" s="112" t="b">
        <v>0</v>
      </c>
      <c r="L246" s="112" t="s">
        <v>3187</v>
      </c>
    </row>
    <row r="247" spans="1:12" ht="15">
      <c r="A247" s="114" t="s">
        <v>681</v>
      </c>
      <c r="B247" s="116" t="s">
        <v>2373</v>
      </c>
      <c r="C247" s="112">
        <v>3</v>
      </c>
      <c r="D247" s="115">
        <v>0.0048580018164165635</v>
      </c>
      <c r="E247" s="115">
        <v>1.6434526764861874</v>
      </c>
      <c r="F247" s="112" t="b">
        <v>1</v>
      </c>
      <c r="G247" s="112" t="b">
        <v>0</v>
      </c>
      <c r="H247" s="112" t="b">
        <v>0</v>
      </c>
      <c r="I247" s="112" t="b">
        <v>1</v>
      </c>
      <c r="J247" s="112" t="b">
        <v>0</v>
      </c>
      <c r="K247" s="112" t="b">
        <v>0</v>
      </c>
      <c r="L247" s="112" t="s">
        <v>3187</v>
      </c>
    </row>
    <row r="248" spans="1:12" ht="15">
      <c r="A248" s="114" t="s">
        <v>2719</v>
      </c>
      <c r="B248" s="116" t="s">
        <v>2767</v>
      </c>
      <c r="C248" s="112">
        <v>2</v>
      </c>
      <c r="D248" s="115">
        <v>0.01020394166913896</v>
      </c>
      <c r="E248" s="115">
        <v>1.8195439355418688</v>
      </c>
      <c r="F248" s="112" t="b">
        <v>0</v>
      </c>
      <c r="G248" s="112" t="b">
        <v>0</v>
      </c>
      <c r="H248" s="112" t="b">
        <v>0</v>
      </c>
      <c r="I248" s="112" t="b">
        <v>0</v>
      </c>
      <c r="J248" s="112" t="b">
        <v>0</v>
      </c>
      <c r="K248" s="112" t="b">
        <v>0</v>
      </c>
      <c r="L248" s="112" t="s">
        <v>3187</v>
      </c>
    </row>
    <row r="249" spans="1:12" ht="15">
      <c r="A249" s="114" t="s">
        <v>2886</v>
      </c>
      <c r="B249" s="116" t="s">
        <v>2654</v>
      </c>
      <c r="C249" s="112">
        <v>2</v>
      </c>
      <c r="D249" s="115">
        <v>0.01020394166913896</v>
      </c>
      <c r="E249" s="115">
        <v>1.5185139398778875</v>
      </c>
      <c r="F249" s="112" t="b">
        <v>0</v>
      </c>
      <c r="G249" s="112" t="b">
        <v>0</v>
      </c>
      <c r="H249" s="112" t="b">
        <v>0</v>
      </c>
      <c r="I249" s="112" t="b">
        <v>0</v>
      </c>
      <c r="J249" s="112" t="b">
        <v>0</v>
      </c>
      <c r="K249" s="112" t="b">
        <v>0</v>
      </c>
      <c r="L249" s="112" t="s">
        <v>3187</v>
      </c>
    </row>
    <row r="250" spans="1:12" ht="15">
      <c r="A250" s="114" t="s">
        <v>2373</v>
      </c>
      <c r="B250" s="116" t="s">
        <v>2374</v>
      </c>
      <c r="C250" s="112">
        <v>4</v>
      </c>
      <c r="D250" s="115">
        <v>0.011878806229016048</v>
      </c>
      <c r="E250" s="115">
        <v>1.4913616938342726</v>
      </c>
      <c r="F250" s="112" t="b">
        <v>1</v>
      </c>
      <c r="G250" s="112" t="b">
        <v>0</v>
      </c>
      <c r="H250" s="112" t="b">
        <v>0</v>
      </c>
      <c r="I250" s="112" t="b">
        <v>1</v>
      </c>
      <c r="J250" s="112" t="b">
        <v>0</v>
      </c>
      <c r="K250" s="112" t="b">
        <v>0</v>
      </c>
      <c r="L250" s="112" t="s">
        <v>3188</v>
      </c>
    </row>
    <row r="251" spans="1:12" ht="15">
      <c r="A251" s="114" t="s">
        <v>2643</v>
      </c>
      <c r="B251" s="116" t="s">
        <v>2637</v>
      </c>
      <c r="C251" s="112">
        <v>3</v>
      </c>
      <c r="D251" s="115">
        <v>0.011706240565977707</v>
      </c>
      <c r="E251" s="115">
        <v>1.6163004304425728</v>
      </c>
      <c r="F251" s="112" t="b">
        <v>0</v>
      </c>
      <c r="G251" s="112" t="b">
        <v>0</v>
      </c>
      <c r="H251" s="112" t="b">
        <v>0</v>
      </c>
      <c r="I251" s="112" t="b">
        <v>0</v>
      </c>
      <c r="J251" s="112" t="b">
        <v>0</v>
      </c>
      <c r="K251" s="112" t="b">
        <v>0</v>
      </c>
      <c r="L251" s="112" t="s">
        <v>3188</v>
      </c>
    </row>
    <row r="252" spans="1:12" ht="15">
      <c r="A252" s="114" t="s">
        <v>681</v>
      </c>
      <c r="B252" s="116" t="s">
        <v>2373</v>
      </c>
      <c r="C252" s="112">
        <v>2</v>
      </c>
      <c r="D252" s="115">
        <v>0.010432388124418192</v>
      </c>
      <c r="E252" s="115">
        <v>1.3152704347785915</v>
      </c>
      <c r="F252" s="112" t="b">
        <v>1</v>
      </c>
      <c r="G252" s="112" t="b">
        <v>0</v>
      </c>
      <c r="H252" s="112" t="b">
        <v>0</v>
      </c>
      <c r="I252" s="112" t="b">
        <v>1</v>
      </c>
      <c r="J252" s="112" t="b">
        <v>0</v>
      </c>
      <c r="K252" s="112" t="b">
        <v>0</v>
      </c>
      <c r="L252" s="112" t="s">
        <v>3188</v>
      </c>
    </row>
    <row r="253" spans="1:12" ht="15">
      <c r="A253" s="114" t="s">
        <v>681</v>
      </c>
      <c r="B253" s="116" t="s">
        <v>2373</v>
      </c>
      <c r="C253" s="112">
        <v>6</v>
      </c>
      <c r="D253" s="115">
        <v>0.007887248794689463</v>
      </c>
      <c r="E253" s="115">
        <v>1.2115209972402297</v>
      </c>
      <c r="F253" s="112" t="b">
        <v>1</v>
      </c>
      <c r="G253" s="112" t="b">
        <v>0</v>
      </c>
      <c r="H253" s="112" t="b">
        <v>0</v>
      </c>
      <c r="I253" s="112" t="b">
        <v>1</v>
      </c>
      <c r="J253" s="112" t="b">
        <v>0</v>
      </c>
      <c r="K253" s="112" t="b">
        <v>0</v>
      </c>
      <c r="L253" s="112" t="s">
        <v>3189</v>
      </c>
    </row>
    <row r="254" spans="1:12" ht="15">
      <c r="A254" s="114" t="s">
        <v>2373</v>
      </c>
      <c r="B254" s="116" t="s">
        <v>2645</v>
      </c>
      <c r="C254" s="112">
        <v>5</v>
      </c>
      <c r="D254" s="115">
        <v>0.008301555495886594</v>
      </c>
      <c r="E254" s="115">
        <v>1.3541885008089611</v>
      </c>
      <c r="F254" s="112" t="b">
        <v>1</v>
      </c>
      <c r="G254" s="112" t="b">
        <v>0</v>
      </c>
      <c r="H254" s="112" t="b">
        <v>0</v>
      </c>
      <c r="I254" s="112" t="b">
        <v>0</v>
      </c>
      <c r="J254" s="112" t="b">
        <v>0</v>
      </c>
      <c r="K254" s="112" t="b">
        <v>0</v>
      </c>
      <c r="L254" s="112" t="s">
        <v>3189</v>
      </c>
    </row>
    <row r="255" spans="1:12" ht="15">
      <c r="A255" s="114" t="s">
        <v>2645</v>
      </c>
      <c r="B255" s="116" t="s">
        <v>2374</v>
      </c>
      <c r="C255" s="112">
        <v>5</v>
      </c>
      <c r="D255" s="115">
        <v>0.008301555495886594</v>
      </c>
      <c r="E255" s="115">
        <v>1.3541885008089611</v>
      </c>
      <c r="F255" s="112" t="b">
        <v>0</v>
      </c>
      <c r="G255" s="112" t="b">
        <v>0</v>
      </c>
      <c r="H255" s="112" t="b">
        <v>0</v>
      </c>
      <c r="I255" s="112" t="b">
        <v>1</v>
      </c>
      <c r="J255" s="112" t="b">
        <v>0</v>
      </c>
      <c r="K255" s="112" t="b">
        <v>0</v>
      </c>
      <c r="L255" s="112" t="s">
        <v>3189</v>
      </c>
    </row>
    <row r="256" spans="1:12" ht="15">
      <c r="A256" s="114" t="s">
        <v>2373</v>
      </c>
      <c r="B256" s="116" t="s">
        <v>2374</v>
      </c>
      <c r="C256" s="112">
        <v>3</v>
      </c>
      <c r="D256" s="115">
        <v>0.007887248794689463</v>
      </c>
      <c r="E256" s="115">
        <v>1.0074010145843049</v>
      </c>
      <c r="F256" s="112" t="b">
        <v>1</v>
      </c>
      <c r="G256" s="112" t="b">
        <v>0</v>
      </c>
      <c r="H256" s="112" t="b">
        <v>0</v>
      </c>
      <c r="I256" s="112" t="b">
        <v>1</v>
      </c>
      <c r="J256" s="112" t="b">
        <v>0</v>
      </c>
      <c r="K256" s="112" t="b">
        <v>0</v>
      </c>
      <c r="L256" s="112" t="s">
        <v>3189</v>
      </c>
    </row>
    <row r="257" spans="1:12" ht="15">
      <c r="A257" s="114" t="s">
        <v>681</v>
      </c>
      <c r="B257" s="116" t="s">
        <v>2704</v>
      </c>
      <c r="C257" s="112">
        <v>2</v>
      </c>
      <c r="D257" s="115">
        <v>0.0067960807893767995</v>
      </c>
      <c r="E257" s="115">
        <v>1.1603684747928482</v>
      </c>
      <c r="F257" s="112" t="b">
        <v>1</v>
      </c>
      <c r="G257" s="112" t="b">
        <v>0</v>
      </c>
      <c r="H257" s="112" t="b">
        <v>0</v>
      </c>
      <c r="I257" s="112" t="b">
        <v>0</v>
      </c>
      <c r="J257" s="112" t="b">
        <v>0</v>
      </c>
      <c r="K257" s="112" t="b">
        <v>0</v>
      </c>
      <c r="L257" s="112" t="s">
        <v>3189</v>
      </c>
    </row>
    <row r="258" spans="1:12" ht="15">
      <c r="A258" s="114" t="s">
        <v>2704</v>
      </c>
      <c r="B258" s="116" t="s">
        <v>2967</v>
      </c>
      <c r="C258" s="112">
        <v>2</v>
      </c>
      <c r="D258" s="115">
        <v>0.0067960807893767995</v>
      </c>
      <c r="E258" s="115">
        <v>1.859338479128867</v>
      </c>
      <c r="F258" s="112" t="b">
        <v>0</v>
      </c>
      <c r="G258" s="112" t="b">
        <v>0</v>
      </c>
      <c r="H258" s="112" t="b">
        <v>0</v>
      </c>
      <c r="I258" s="112" t="b">
        <v>0</v>
      </c>
      <c r="J258" s="112" t="b">
        <v>0</v>
      </c>
      <c r="K258" s="112" t="b">
        <v>0</v>
      </c>
      <c r="L258" s="112" t="s">
        <v>3189</v>
      </c>
    </row>
    <row r="259" spans="1:12" ht="15">
      <c r="A259" s="114" t="s">
        <v>2687</v>
      </c>
      <c r="B259" s="116" t="s">
        <v>2752</v>
      </c>
      <c r="C259" s="112">
        <v>2</v>
      </c>
      <c r="D259" s="115">
        <v>0.0067960807893767995</v>
      </c>
      <c r="E259" s="115">
        <v>1.4333697468565858</v>
      </c>
      <c r="F259" s="112" t="b">
        <v>1</v>
      </c>
      <c r="G259" s="112" t="b">
        <v>0</v>
      </c>
      <c r="H259" s="112" t="b">
        <v>0</v>
      </c>
      <c r="I259" s="112" t="b">
        <v>0</v>
      </c>
      <c r="J259" s="112" t="b">
        <v>0</v>
      </c>
      <c r="K259" s="112" t="b">
        <v>0</v>
      </c>
      <c r="L259" s="112" t="s">
        <v>3189</v>
      </c>
    </row>
    <row r="260" spans="1:12" ht="15">
      <c r="A260" s="114" t="s">
        <v>2983</v>
      </c>
      <c r="B260" s="116" t="s">
        <v>2922</v>
      </c>
      <c r="C260" s="112">
        <v>2</v>
      </c>
      <c r="D260" s="115">
        <v>0.0067960807893767995</v>
      </c>
      <c r="E260" s="115">
        <v>2.0354297381845483</v>
      </c>
      <c r="F260" s="112" t="b">
        <v>0</v>
      </c>
      <c r="G260" s="112" t="b">
        <v>0</v>
      </c>
      <c r="H260" s="112" t="b">
        <v>0</v>
      </c>
      <c r="I260" s="112" t="b">
        <v>0</v>
      </c>
      <c r="J260" s="112" t="b">
        <v>1</v>
      </c>
      <c r="K260" s="112" t="b">
        <v>0</v>
      </c>
      <c r="L260" s="112" t="s">
        <v>3189</v>
      </c>
    </row>
    <row r="261" spans="1:12" ht="15">
      <c r="A261" s="114" t="s">
        <v>2909</v>
      </c>
      <c r="B261" s="116" t="s">
        <v>2701</v>
      </c>
      <c r="C261" s="112">
        <v>2</v>
      </c>
      <c r="D261" s="115">
        <v>0.0067960807893767995</v>
      </c>
      <c r="E261" s="115">
        <v>1.6374897295125106</v>
      </c>
      <c r="F261" s="112" t="b">
        <v>0</v>
      </c>
      <c r="G261" s="112" t="b">
        <v>0</v>
      </c>
      <c r="H261" s="112" t="b">
        <v>0</v>
      </c>
      <c r="I261" s="112" t="b">
        <v>0</v>
      </c>
      <c r="J261" s="112" t="b">
        <v>0</v>
      </c>
      <c r="K261" s="112" t="b">
        <v>0</v>
      </c>
      <c r="L261" s="112" t="s">
        <v>3189</v>
      </c>
    </row>
    <row r="262" spans="1:12" ht="15">
      <c r="A262" s="114" t="s">
        <v>2688</v>
      </c>
      <c r="B262" s="116" t="s">
        <v>2671</v>
      </c>
      <c r="C262" s="112">
        <v>2</v>
      </c>
      <c r="D262" s="115">
        <v>0.0067960807893767995</v>
      </c>
      <c r="E262" s="115">
        <v>2.0354297381845483</v>
      </c>
      <c r="F262" s="112" t="b">
        <v>1</v>
      </c>
      <c r="G262" s="112" t="b">
        <v>0</v>
      </c>
      <c r="H262" s="112" t="b">
        <v>0</v>
      </c>
      <c r="I262" s="112" t="b">
        <v>1</v>
      </c>
      <c r="J262" s="112" t="b">
        <v>0</v>
      </c>
      <c r="K262" s="112" t="b">
        <v>0</v>
      </c>
      <c r="L262" s="112" t="s">
        <v>3189</v>
      </c>
    </row>
    <row r="263" spans="1:12" ht="15">
      <c r="A263" s="114" t="s">
        <v>2752</v>
      </c>
      <c r="B263" s="116" t="s">
        <v>2752</v>
      </c>
      <c r="C263" s="112">
        <v>2</v>
      </c>
      <c r="D263" s="115">
        <v>0.0067960807893767995</v>
      </c>
      <c r="E263" s="115">
        <v>1.4333697468565858</v>
      </c>
      <c r="F263" s="112" t="b">
        <v>0</v>
      </c>
      <c r="G263" s="112" t="b">
        <v>0</v>
      </c>
      <c r="H263" s="112" t="b">
        <v>0</v>
      </c>
      <c r="I263" s="112" t="b">
        <v>0</v>
      </c>
      <c r="J263" s="112" t="b">
        <v>0</v>
      </c>
      <c r="K263" s="112" t="b">
        <v>0</v>
      </c>
      <c r="L263" s="112" t="s">
        <v>3189</v>
      </c>
    </row>
    <row r="264" spans="1:12" ht="15">
      <c r="A264" s="114" t="s">
        <v>2967</v>
      </c>
      <c r="B264" s="116" t="s">
        <v>2687</v>
      </c>
      <c r="C264" s="112">
        <v>2</v>
      </c>
      <c r="D264" s="115">
        <v>0.0067960807893767995</v>
      </c>
      <c r="E264" s="115">
        <v>1.734399742520567</v>
      </c>
      <c r="F264" s="112" t="b">
        <v>0</v>
      </c>
      <c r="G264" s="112" t="b">
        <v>0</v>
      </c>
      <c r="H264" s="112" t="b">
        <v>0</v>
      </c>
      <c r="I264" s="112" t="b">
        <v>1</v>
      </c>
      <c r="J264" s="112" t="b">
        <v>0</v>
      </c>
      <c r="K264" s="112" t="b">
        <v>0</v>
      </c>
      <c r="L264" s="112" t="s">
        <v>3189</v>
      </c>
    </row>
    <row r="265" spans="1:12" ht="15">
      <c r="A265" s="114" t="s">
        <v>2374</v>
      </c>
      <c r="B265" s="116" t="s">
        <v>2698</v>
      </c>
      <c r="C265" s="112">
        <v>2</v>
      </c>
      <c r="D265" s="115">
        <v>0.0067960807893767995</v>
      </c>
      <c r="E265" s="115">
        <v>1.734399742520567</v>
      </c>
      <c r="F265" s="112" t="b">
        <v>1</v>
      </c>
      <c r="G265" s="112" t="b">
        <v>0</v>
      </c>
      <c r="H265" s="112" t="b">
        <v>0</v>
      </c>
      <c r="I265" s="112" t="b">
        <v>0</v>
      </c>
      <c r="J265" s="112" t="b">
        <v>0</v>
      </c>
      <c r="K265" s="112" t="b">
        <v>0</v>
      </c>
      <c r="L265" s="112" t="s">
        <v>3189</v>
      </c>
    </row>
    <row r="266" spans="1:12" ht="15">
      <c r="A266" s="114" t="s">
        <v>2687</v>
      </c>
      <c r="B266" s="116" t="s">
        <v>2924</v>
      </c>
      <c r="C266" s="112">
        <v>2</v>
      </c>
      <c r="D266" s="115">
        <v>0.0067960807893767995</v>
      </c>
      <c r="E266" s="115">
        <v>1.734399742520567</v>
      </c>
      <c r="F266" s="112" t="b">
        <v>1</v>
      </c>
      <c r="G266" s="112" t="b">
        <v>0</v>
      </c>
      <c r="H266" s="112" t="b">
        <v>0</v>
      </c>
      <c r="I266" s="112" t="b">
        <v>0</v>
      </c>
      <c r="J266" s="112" t="b">
        <v>1</v>
      </c>
      <c r="K266" s="112" t="b">
        <v>0</v>
      </c>
      <c r="L266" s="112" t="s">
        <v>3189</v>
      </c>
    </row>
    <row r="267" spans="1:12" ht="15">
      <c r="A267" s="114" t="s">
        <v>2924</v>
      </c>
      <c r="B267" s="116" t="s">
        <v>2660</v>
      </c>
      <c r="C267" s="112">
        <v>2</v>
      </c>
      <c r="D267" s="115">
        <v>0.0067960807893767995</v>
      </c>
      <c r="E267" s="115">
        <v>1.859338479128867</v>
      </c>
      <c r="F267" s="112" t="b">
        <v>0</v>
      </c>
      <c r="G267" s="112" t="b">
        <v>1</v>
      </c>
      <c r="H267" s="112" t="b">
        <v>0</v>
      </c>
      <c r="I267" s="112" t="b">
        <v>0</v>
      </c>
      <c r="J267" s="112" t="b">
        <v>0</v>
      </c>
      <c r="K267" s="112" t="b">
        <v>0</v>
      </c>
      <c r="L267" s="112" t="s">
        <v>3189</v>
      </c>
    </row>
    <row r="268" spans="1:12" ht="15">
      <c r="A268" s="114" t="s">
        <v>2752</v>
      </c>
      <c r="B268" s="116" t="s">
        <v>2983</v>
      </c>
      <c r="C268" s="112">
        <v>2</v>
      </c>
      <c r="D268" s="115">
        <v>0.0067960807893767995</v>
      </c>
      <c r="E268" s="115">
        <v>1.734399742520567</v>
      </c>
      <c r="F268" s="112" t="b">
        <v>0</v>
      </c>
      <c r="G268" s="112" t="b">
        <v>0</v>
      </c>
      <c r="H268" s="112" t="b">
        <v>0</v>
      </c>
      <c r="I268" s="112" t="b">
        <v>0</v>
      </c>
      <c r="J268" s="112" t="b">
        <v>0</v>
      </c>
      <c r="K268" s="112" t="b">
        <v>0</v>
      </c>
      <c r="L268" s="112" t="s">
        <v>3189</v>
      </c>
    </row>
    <row r="269" spans="1:12" ht="15">
      <c r="A269" s="114" t="s">
        <v>2701</v>
      </c>
      <c r="B269" s="116" t="s">
        <v>681</v>
      </c>
      <c r="C269" s="112">
        <v>2</v>
      </c>
      <c r="D269" s="115">
        <v>0.0067960807893767995</v>
      </c>
      <c r="E269" s="115">
        <v>1.0354297381845483</v>
      </c>
      <c r="F269" s="112" t="b">
        <v>0</v>
      </c>
      <c r="G269" s="112" t="b">
        <v>0</v>
      </c>
      <c r="H269" s="112" t="b">
        <v>0</v>
      </c>
      <c r="I269" s="112" t="b">
        <v>1</v>
      </c>
      <c r="J269" s="112" t="b">
        <v>0</v>
      </c>
      <c r="K269" s="112" t="b">
        <v>0</v>
      </c>
      <c r="L269" s="112" t="s">
        <v>3189</v>
      </c>
    </row>
    <row r="270" spans="1:12" ht="15">
      <c r="A270" s="114" t="s">
        <v>2660</v>
      </c>
      <c r="B270" s="116" t="s">
        <v>2687</v>
      </c>
      <c r="C270" s="112">
        <v>2</v>
      </c>
      <c r="D270" s="115">
        <v>0.0067960807893767995</v>
      </c>
      <c r="E270" s="115">
        <v>1.558308483464886</v>
      </c>
      <c r="F270" s="112" t="b">
        <v>0</v>
      </c>
      <c r="G270" s="112" t="b">
        <v>0</v>
      </c>
      <c r="H270" s="112" t="b">
        <v>0</v>
      </c>
      <c r="I270" s="112" t="b">
        <v>1</v>
      </c>
      <c r="J270" s="112" t="b">
        <v>0</v>
      </c>
      <c r="K270" s="112" t="b">
        <v>0</v>
      </c>
      <c r="L270" s="112" t="s">
        <v>3189</v>
      </c>
    </row>
    <row r="271" spans="1:12" ht="15">
      <c r="A271" s="114" t="s">
        <v>2374</v>
      </c>
      <c r="B271" s="116" t="s">
        <v>2376</v>
      </c>
      <c r="C271" s="112">
        <v>2</v>
      </c>
      <c r="D271" s="115">
        <v>0.0067960807893767995</v>
      </c>
      <c r="E271" s="115">
        <v>1.3364597338485296</v>
      </c>
      <c r="F271" s="112" t="b">
        <v>1</v>
      </c>
      <c r="G271" s="112" t="b">
        <v>0</v>
      </c>
      <c r="H271" s="112" t="b">
        <v>0</v>
      </c>
      <c r="I271" s="112" t="b">
        <v>0</v>
      </c>
      <c r="J271" s="112" t="b">
        <v>0</v>
      </c>
      <c r="K271" s="112" t="b">
        <v>0</v>
      </c>
      <c r="L271" s="112" t="s">
        <v>3189</v>
      </c>
    </row>
    <row r="272" spans="1:12" ht="15">
      <c r="A272" s="114" t="s">
        <v>2373</v>
      </c>
      <c r="B272" s="116" t="s">
        <v>2374</v>
      </c>
      <c r="C272" s="112">
        <v>7</v>
      </c>
      <c r="D272" s="115">
        <v>0.007376283808844913</v>
      </c>
      <c r="E272" s="115">
        <v>1.1756386331867765</v>
      </c>
      <c r="F272" s="112" t="b">
        <v>1</v>
      </c>
      <c r="G272" s="112" t="b">
        <v>0</v>
      </c>
      <c r="H272" s="112" t="b">
        <v>0</v>
      </c>
      <c r="I272" s="112" t="b">
        <v>1</v>
      </c>
      <c r="J272" s="112" t="b">
        <v>0</v>
      </c>
      <c r="K272" s="112" t="b">
        <v>0</v>
      </c>
      <c r="L272" s="112" t="s">
        <v>3190</v>
      </c>
    </row>
    <row r="273" spans="1:12" ht="15">
      <c r="A273" s="114" t="s">
        <v>681</v>
      </c>
      <c r="B273" s="116" t="s">
        <v>2373</v>
      </c>
      <c r="C273" s="112">
        <v>7</v>
      </c>
      <c r="D273" s="115">
        <v>0.007376283808844913</v>
      </c>
      <c r="E273" s="115">
        <v>1.2336305801644631</v>
      </c>
      <c r="F273" s="112" t="b">
        <v>1</v>
      </c>
      <c r="G273" s="112" t="b">
        <v>0</v>
      </c>
      <c r="H273" s="112" t="b">
        <v>0</v>
      </c>
      <c r="I273" s="112" t="b">
        <v>1</v>
      </c>
      <c r="J273" s="112" t="b">
        <v>0</v>
      </c>
      <c r="K273" s="112" t="b">
        <v>0</v>
      </c>
      <c r="L273" s="112" t="s">
        <v>3190</v>
      </c>
    </row>
    <row r="274" spans="1:12" ht="15">
      <c r="A274" s="114" t="s">
        <v>377</v>
      </c>
      <c r="B274" s="116" t="s">
        <v>268</v>
      </c>
      <c r="C274" s="112">
        <v>2</v>
      </c>
      <c r="D274" s="115">
        <v>0.0095097959773608</v>
      </c>
      <c r="E274" s="115">
        <v>1.8356905714924256</v>
      </c>
      <c r="F274" s="112" t="b">
        <v>0</v>
      </c>
      <c r="G274" s="112" t="b">
        <v>0</v>
      </c>
      <c r="H274" s="112" t="b">
        <v>0</v>
      </c>
      <c r="I274" s="112" t="b">
        <v>0</v>
      </c>
      <c r="J274" s="112" t="b">
        <v>0</v>
      </c>
      <c r="K274" s="112" t="b">
        <v>0</v>
      </c>
      <c r="L274" s="112" t="s">
        <v>3190</v>
      </c>
    </row>
    <row r="275" spans="1:12" ht="15">
      <c r="A275" s="114" t="s">
        <v>2989</v>
      </c>
      <c r="B275" s="116" t="s">
        <v>2376</v>
      </c>
      <c r="C275" s="112">
        <v>2</v>
      </c>
      <c r="D275" s="115">
        <v>0.013605442176870748</v>
      </c>
      <c r="E275" s="115">
        <v>1.5346605758284444</v>
      </c>
      <c r="F275" s="112" t="b">
        <v>0</v>
      </c>
      <c r="G275" s="112" t="b">
        <v>0</v>
      </c>
      <c r="H275" s="112" t="b">
        <v>0</v>
      </c>
      <c r="I275" s="112" t="b">
        <v>0</v>
      </c>
      <c r="J275" s="112" t="b">
        <v>0</v>
      </c>
      <c r="K275" s="112" t="b">
        <v>0</v>
      </c>
      <c r="L275" s="112" t="s">
        <v>3190</v>
      </c>
    </row>
    <row r="276" spans="1:12" ht="15">
      <c r="A276" s="114" t="s">
        <v>2770</v>
      </c>
      <c r="B276" s="116" t="s">
        <v>2736</v>
      </c>
      <c r="C276" s="112">
        <v>2</v>
      </c>
      <c r="D276" s="115">
        <v>0.013605442176870748</v>
      </c>
      <c r="E276" s="115">
        <v>1.8356905714924256</v>
      </c>
      <c r="F276" s="112" t="b">
        <v>0</v>
      </c>
      <c r="G276" s="112" t="b">
        <v>0</v>
      </c>
      <c r="H276" s="112" t="b">
        <v>0</v>
      </c>
      <c r="I276" s="112" t="b">
        <v>0</v>
      </c>
      <c r="J276" s="112" t="b">
        <v>0</v>
      </c>
      <c r="K276" s="112" t="b">
        <v>0</v>
      </c>
      <c r="L276" s="112" t="s">
        <v>3190</v>
      </c>
    </row>
    <row r="277" spans="1:12" ht="15">
      <c r="A277" s="114" t="s">
        <v>2378</v>
      </c>
      <c r="B277" s="116" t="s">
        <v>2990</v>
      </c>
      <c r="C277" s="112">
        <v>2</v>
      </c>
      <c r="D277" s="115">
        <v>0</v>
      </c>
      <c r="E277" s="115">
        <v>1.2304489213782739</v>
      </c>
      <c r="F277" s="112" t="b">
        <v>0</v>
      </c>
      <c r="G277" s="112" t="b">
        <v>0</v>
      </c>
      <c r="H277" s="112" t="b">
        <v>0</v>
      </c>
      <c r="I277" s="112" t="b">
        <v>0</v>
      </c>
      <c r="J277" s="112" t="b">
        <v>0</v>
      </c>
      <c r="K277" s="112" t="b">
        <v>0</v>
      </c>
      <c r="L277" s="112" t="s">
        <v>3191</v>
      </c>
    </row>
    <row r="278" spans="1:12" ht="15">
      <c r="A278" s="114" t="s">
        <v>2639</v>
      </c>
      <c r="B278" s="116" t="s">
        <v>2674</v>
      </c>
      <c r="C278" s="112">
        <v>2</v>
      </c>
      <c r="D278" s="115">
        <v>0.0162718916575125</v>
      </c>
      <c r="E278" s="115">
        <v>1.1461280356782382</v>
      </c>
      <c r="F278" s="112" t="b">
        <v>0</v>
      </c>
      <c r="G278" s="112" t="b">
        <v>0</v>
      </c>
      <c r="H278" s="112" t="b">
        <v>0</v>
      </c>
      <c r="I278" s="112" t="b">
        <v>0</v>
      </c>
      <c r="J278" s="112" t="b">
        <v>0</v>
      </c>
      <c r="K278" s="112" t="b">
        <v>0</v>
      </c>
      <c r="L278" s="112" t="s">
        <v>3193</v>
      </c>
    </row>
    <row r="279" spans="1:12" ht="15">
      <c r="A279" s="114" t="s">
        <v>2373</v>
      </c>
      <c r="B279" s="116" t="s">
        <v>2374</v>
      </c>
      <c r="C279" s="112">
        <v>5</v>
      </c>
      <c r="D279" s="115">
        <v>0.004970341349599933</v>
      </c>
      <c r="E279" s="115">
        <v>1.4471580313422192</v>
      </c>
      <c r="F279" s="112" t="b">
        <v>1</v>
      </c>
      <c r="G279" s="112" t="b">
        <v>0</v>
      </c>
      <c r="H279" s="112" t="b">
        <v>0</v>
      </c>
      <c r="I279" s="112" t="b">
        <v>1</v>
      </c>
      <c r="J279" s="112" t="b">
        <v>0</v>
      </c>
      <c r="K279" s="112" t="b">
        <v>0</v>
      </c>
      <c r="L279" s="112" t="s">
        <v>3196</v>
      </c>
    </row>
    <row r="280" spans="1:12" ht="15">
      <c r="A280" s="114" t="s">
        <v>681</v>
      </c>
      <c r="B280" s="116" t="s">
        <v>2373</v>
      </c>
      <c r="C280" s="112">
        <v>5</v>
      </c>
      <c r="D280" s="115">
        <v>0.004970341349599933</v>
      </c>
      <c r="E280" s="115">
        <v>1.4471580313422192</v>
      </c>
      <c r="F280" s="112" t="b">
        <v>1</v>
      </c>
      <c r="G280" s="112" t="b">
        <v>0</v>
      </c>
      <c r="H280" s="112" t="b">
        <v>0</v>
      </c>
      <c r="I280" s="112" t="b">
        <v>1</v>
      </c>
      <c r="J280" s="112" t="b">
        <v>0</v>
      </c>
      <c r="K280" s="112" t="b">
        <v>0</v>
      </c>
      <c r="L280" s="112" t="s">
        <v>3196</v>
      </c>
    </row>
    <row r="281" spans="1:12" ht="15">
      <c r="A281" s="114" t="s">
        <v>2839</v>
      </c>
      <c r="B281" s="116" t="s">
        <v>2839</v>
      </c>
      <c r="C281" s="112">
        <v>2</v>
      </c>
      <c r="D281" s="115">
        <v>0.011497932517200772</v>
      </c>
      <c r="E281" s="115">
        <v>1.4929155219028942</v>
      </c>
      <c r="F281" s="112" t="b">
        <v>0</v>
      </c>
      <c r="G281" s="112" t="b">
        <v>0</v>
      </c>
      <c r="H281" s="112" t="b">
        <v>0</v>
      </c>
      <c r="I281" s="112" t="b">
        <v>0</v>
      </c>
      <c r="J281" s="112" t="b">
        <v>0</v>
      </c>
      <c r="K281" s="112" t="b">
        <v>0</v>
      </c>
      <c r="L281" s="112" t="s">
        <v>3196</v>
      </c>
    </row>
    <row r="282" spans="1:12" ht="15">
      <c r="A282" s="114" t="s">
        <v>2748</v>
      </c>
      <c r="B282" s="116" t="s">
        <v>2826</v>
      </c>
      <c r="C282" s="112">
        <v>2</v>
      </c>
      <c r="D282" s="115">
        <v>0.007402286317690825</v>
      </c>
      <c r="E282" s="115">
        <v>1.845098040014257</v>
      </c>
      <c r="F282" s="112" t="b">
        <v>1</v>
      </c>
      <c r="G282" s="112" t="b">
        <v>0</v>
      </c>
      <c r="H282" s="112" t="b">
        <v>0</v>
      </c>
      <c r="I282" s="112" t="b">
        <v>0</v>
      </c>
      <c r="J282" s="112" t="b">
        <v>0</v>
      </c>
      <c r="K282" s="112" t="b">
        <v>0</v>
      </c>
      <c r="L282" s="112" t="s">
        <v>3196</v>
      </c>
    </row>
    <row r="283" spans="1:12" ht="15">
      <c r="A283" s="114" t="s">
        <v>2377</v>
      </c>
      <c r="B283" s="116" t="s">
        <v>2725</v>
      </c>
      <c r="C283" s="112">
        <v>2</v>
      </c>
      <c r="D283" s="115">
        <v>0.011497932517200772</v>
      </c>
      <c r="E283" s="115">
        <v>1.6690067809585756</v>
      </c>
      <c r="F283" s="112" t="b">
        <v>0</v>
      </c>
      <c r="G283" s="112" t="b">
        <v>0</v>
      </c>
      <c r="H283" s="112" t="b">
        <v>0</v>
      </c>
      <c r="I283" s="112" t="b">
        <v>0</v>
      </c>
      <c r="J283" s="112" t="b">
        <v>0</v>
      </c>
      <c r="K283" s="112" t="b">
        <v>0</v>
      </c>
      <c r="L283" s="112" t="s">
        <v>3196</v>
      </c>
    </row>
    <row r="284" spans="1:12" ht="15">
      <c r="A284" s="114" t="s">
        <v>2680</v>
      </c>
      <c r="B284" s="116" t="s">
        <v>2885</v>
      </c>
      <c r="C284" s="112">
        <v>2</v>
      </c>
      <c r="D284" s="115">
        <v>0</v>
      </c>
      <c r="E284" s="115">
        <v>0.6989700043360189</v>
      </c>
      <c r="F284" s="112" t="b">
        <v>1</v>
      </c>
      <c r="G284" s="112" t="b">
        <v>0</v>
      </c>
      <c r="H284" s="112" t="b">
        <v>0</v>
      </c>
      <c r="I284" s="112" t="b">
        <v>0</v>
      </c>
      <c r="J284" s="112" t="b">
        <v>0</v>
      </c>
      <c r="K284" s="112" t="b">
        <v>0</v>
      </c>
      <c r="L284" s="112" t="s">
        <v>3198</v>
      </c>
    </row>
    <row r="285" spans="1:12" ht="15">
      <c r="A285" s="114" t="s">
        <v>2680</v>
      </c>
      <c r="B285" s="116" t="s">
        <v>2899</v>
      </c>
      <c r="C285" s="112">
        <v>2</v>
      </c>
      <c r="D285" s="115">
        <v>0</v>
      </c>
      <c r="E285" s="115">
        <v>0.6989700043360189</v>
      </c>
      <c r="F285" s="112" t="b">
        <v>1</v>
      </c>
      <c r="G285" s="112" t="b">
        <v>0</v>
      </c>
      <c r="H285" s="112" t="b">
        <v>0</v>
      </c>
      <c r="I285" s="112" t="b">
        <v>0</v>
      </c>
      <c r="J285" s="112" t="b">
        <v>0</v>
      </c>
      <c r="K285" s="112" t="b">
        <v>0</v>
      </c>
      <c r="L285" s="112" t="s">
        <v>3198</v>
      </c>
    </row>
    <row r="286" spans="1:12" ht="15">
      <c r="A286" s="114" t="s">
        <v>681</v>
      </c>
      <c r="B286" s="116" t="s">
        <v>2373</v>
      </c>
      <c r="C286" s="112">
        <v>2</v>
      </c>
      <c r="D286" s="115">
        <v>0</v>
      </c>
      <c r="E286" s="115">
        <v>0.47712125471966244</v>
      </c>
      <c r="F286" s="112" t="b">
        <v>1</v>
      </c>
      <c r="G286" s="112" t="b">
        <v>0</v>
      </c>
      <c r="H286" s="112" t="b">
        <v>0</v>
      </c>
      <c r="I286" s="112" t="b">
        <v>1</v>
      </c>
      <c r="J286" s="112" t="b">
        <v>0</v>
      </c>
      <c r="K286" s="112" t="b">
        <v>0</v>
      </c>
      <c r="L286" s="112" t="s">
        <v>3199</v>
      </c>
    </row>
    <row r="287" spans="1:12" ht="15">
      <c r="A287" s="114" t="s">
        <v>2373</v>
      </c>
      <c r="B287" s="116" t="s">
        <v>2374</v>
      </c>
      <c r="C287" s="112">
        <v>2</v>
      </c>
      <c r="D287" s="115">
        <v>0</v>
      </c>
      <c r="E287" s="115">
        <v>0.47712125471966244</v>
      </c>
      <c r="F287" s="112" t="b">
        <v>1</v>
      </c>
      <c r="G287" s="112" t="b">
        <v>0</v>
      </c>
      <c r="H287" s="112" t="b">
        <v>0</v>
      </c>
      <c r="I287" s="112" t="b">
        <v>1</v>
      </c>
      <c r="J287" s="112" t="b">
        <v>0</v>
      </c>
      <c r="K287" s="112" t="b">
        <v>0</v>
      </c>
      <c r="L287" s="112" t="s">
        <v>3199</v>
      </c>
    </row>
    <row r="288" spans="1:12" ht="15">
      <c r="A288" s="114" t="s">
        <v>2656</v>
      </c>
      <c r="B288" s="116" t="s">
        <v>3011</v>
      </c>
      <c r="C288" s="112">
        <v>2</v>
      </c>
      <c r="D288" s="115">
        <v>0</v>
      </c>
      <c r="E288" s="115">
        <v>1.2174839442139063</v>
      </c>
      <c r="F288" s="112" t="b">
        <v>0</v>
      </c>
      <c r="G288" s="112" t="b">
        <v>0</v>
      </c>
      <c r="H288" s="112" t="b">
        <v>0</v>
      </c>
      <c r="I288" s="112" t="b">
        <v>0</v>
      </c>
      <c r="J288" s="112" t="b">
        <v>0</v>
      </c>
      <c r="K288" s="112" t="b">
        <v>0</v>
      </c>
      <c r="L288" s="112" t="s">
        <v>3210</v>
      </c>
    </row>
    <row r="289" spans="1:12" ht="15">
      <c r="A289" s="114" t="s">
        <v>2866</v>
      </c>
      <c r="B289" s="116" t="s">
        <v>2956</v>
      </c>
      <c r="C289" s="112">
        <v>2</v>
      </c>
      <c r="D289" s="115">
        <v>0</v>
      </c>
      <c r="E289" s="115">
        <v>0.9294189257142927</v>
      </c>
      <c r="F289" s="112" t="b">
        <v>0</v>
      </c>
      <c r="G289" s="112" t="b">
        <v>0</v>
      </c>
      <c r="H289" s="112" t="b">
        <v>0</v>
      </c>
      <c r="I289" s="112" t="b">
        <v>0</v>
      </c>
      <c r="J289" s="112" t="b">
        <v>0</v>
      </c>
      <c r="K289" s="112" t="b">
        <v>0</v>
      </c>
      <c r="L289" s="112" t="s">
        <v>3212</v>
      </c>
    </row>
    <row r="290" spans="1:12" ht="15">
      <c r="A290" s="114" t="s">
        <v>2373</v>
      </c>
      <c r="B290" s="116" t="s">
        <v>2374</v>
      </c>
      <c r="C290" s="112">
        <v>2</v>
      </c>
      <c r="D290" s="115">
        <v>0</v>
      </c>
      <c r="E290" s="115">
        <v>0.8450980400142568</v>
      </c>
      <c r="F290" s="112" t="b">
        <v>1</v>
      </c>
      <c r="G290" s="112" t="b">
        <v>0</v>
      </c>
      <c r="H290" s="112" t="b">
        <v>0</v>
      </c>
      <c r="I290" s="112" t="b">
        <v>1</v>
      </c>
      <c r="J290" s="112" t="b">
        <v>0</v>
      </c>
      <c r="K290" s="112" t="b">
        <v>0</v>
      </c>
      <c r="L290" s="112" t="s">
        <v>3214</v>
      </c>
    </row>
    <row r="291" spans="1:12" ht="15">
      <c r="A291" s="114" t="s">
        <v>681</v>
      </c>
      <c r="B291" s="116" t="s">
        <v>2373</v>
      </c>
      <c r="C291" s="112">
        <v>2</v>
      </c>
      <c r="D291" s="115">
        <v>0</v>
      </c>
      <c r="E291" s="115">
        <v>0.6690067809585756</v>
      </c>
      <c r="F291" s="112" t="b">
        <v>1</v>
      </c>
      <c r="G291" s="112" t="b">
        <v>0</v>
      </c>
      <c r="H291" s="112" t="b">
        <v>0</v>
      </c>
      <c r="I291" s="112" t="b">
        <v>1</v>
      </c>
      <c r="J291" s="112" t="b">
        <v>0</v>
      </c>
      <c r="K291" s="112" t="b">
        <v>0</v>
      </c>
      <c r="L291" s="112" t="s">
        <v>3214</v>
      </c>
    </row>
    <row r="292" spans="1:12" ht="15">
      <c r="A292" s="114" t="s">
        <v>2702</v>
      </c>
      <c r="B292" s="116" t="s">
        <v>2702</v>
      </c>
      <c r="C292" s="112">
        <v>2</v>
      </c>
      <c r="D292" s="115">
        <v>0</v>
      </c>
      <c r="E292" s="115">
        <v>0.3979400086720376</v>
      </c>
      <c r="F292" s="112" t="b">
        <v>0</v>
      </c>
      <c r="G292" s="112" t="b">
        <v>1</v>
      </c>
      <c r="H292" s="112" t="b">
        <v>0</v>
      </c>
      <c r="I292" s="112" t="b">
        <v>0</v>
      </c>
      <c r="J292" s="112" t="b">
        <v>1</v>
      </c>
      <c r="K292" s="112" t="b">
        <v>0</v>
      </c>
      <c r="L292" s="112" t="s">
        <v>3494</v>
      </c>
    </row>
    <row r="293" spans="1:12" ht="15">
      <c r="A293" s="114" t="s">
        <v>681</v>
      </c>
      <c r="B293" s="116" t="s">
        <v>2373</v>
      </c>
      <c r="C293" s="112">
        <v>2</v>
      </c>
      <c r="D293" s="115">
        <v>0</v>
      </c>
      <c r="E293" s="115">
        <v>0.8750612633917001</v>
      </c>
      <c r="F293" s="112" t="b">
        <v>1</v>
      </c>
      <c r="G293" s="112" t="b">
        <v>0</v>
      </c>
      <c r="H293" s="112" t="b">
        <v>0</v>
      </c>
      <c r="I293" s="112" t="b">
        <v>1</v>
      </c>
      <c r="J293" s="112" t="b">
        <v>0</v>
      </c>
      <c r="K293" s="112" t="b">
        <v>0</v>
      </c>
      <c r="L293" s="112" t="s">
        <v>3494</v>
      </c>
    </row>
    <row r="294" spans="1:12" ht="15">
      <c r="A294" s="114" t="s">
        <v>2373</v>
      </c>
      <c r="B294" s="116" t="s">
        <v>2374</v>
      </c>
      <c r="C294" s="112">
        <v>2</v>
      </c>
      <c r="D294" s="115">
        <v>0</v>
      </c>
      <c r="E294" s="115">
        <v>0.8750612633917001</v>
      </c>
      <c r="F294" s="112" t="b">
        <v>1</v>
      </c>
      <c r="G294" s="112" t="b">
        <v>0</v>
      </c>
      <c r="H294" s="112" t="b">
        <v>0</v>
      </c>
      <c r="I294" s="112" t="b">
        <v>1</v>
      </c>
      <c r="J294" s="112" t="b">
        <v>0</v>
      </c>
      <c r="K294" s="112" t="b">
        <v>0</v>
      </c>
      <c r="L294" s="112" t="s">
        <v>3494</v>
      </c>
    </row>
    <row r="295" spans="1:12" ht="15">
      <c r="A295" s="114" t="s">
        <v>2373</v>
      </c>
      <c r="B295" s="116" t="s">
        <v>2374</v>
      </c>
      <c r="C295" s="112">
        <v>3</v>
      </c>
      <c r="D295" s="115">
        <v>0</v>
      </c>
      <c r="E295" s="115">
        <v>1.2108533653148932</v>
      </c>
      <c r="F295" s="112" t="b">
        <v>1</v>
      </c>
      <c r="G295" s="112" t="b">
        <v>0</v>
      </c>
      <c r="H295" s="112" t="b">
        <v>0</v>
      </c>
      <c r="I295" s="112" t="b">
        <v>1</v>
      </c>
      <c r="J295" s="112" t="b">
        <v>0</v>
      </c>
      <c r="K295" s="112" t="b">
        <v>0</v>
      </c>
      <c r="L295" s="112" t="s">
        <v>3496</v>
      </c>
    </row>
    <row r="296" spans="1:12" ht="15">
      <c r="A296" s="114" t="s">
        <v>2380</v>
      </c>
      <c r="B296" s="116" t="s">
        <v>2373</v>
      </c>
      <c r="C296" s="112">
        <v>2</v>
      </c>
      <c r="D296" s="115">
        <v>0.014032978079990072</v>
      </c>
      <c r="E296" s="115">
        <v>1.2108533653148932</v>
      </c>
      <c r="F296" s="112" t="b">
        <v>0</v>
      </c>
      <c r="G296" s="112" t="b">
        <v>0</v>
      </c>
      <c r="H296" s="112" t="b">
        <v>0</v>
      </c>
      <c r="I296" s="112" t="b">
        <v>1</v>
      </c>
      <c r="J296" s="112" t="b">
        <v>0</v>
      </c>
      <c r="K296" s="112" t="b">
        <v>0</v>
      </c>
      <c r="L296" s="112" t="s">
        <v>3496</v>
      </c>
    </row>
    <row r="297" spans="1:12" ht="15">
      <c r="A297" s="114" t="s">
        <v>681</v>
      </c>
      <c r="B297" s="116" t="s">
        <v>2373</v>
      </c>
      <c r="C297" s="112">
        <v>2</v>
      </c>
      <c r="D297" s="115">
        <v>0.005179154678108272</v>
      </c>
      <c r="E297" s="115">
        <v>1.2108533653148932</v>
      </c>
      <c r="F297" s="112" t="b">
        <v>1</v>
      </c>
      <c r="G297" s="112" t="b">
        <v>0</v>
      </c>
      <c r="H297" s="112" t="b">
        <v>0</v>
      </c>
      <c r="I297" s="112" t="b">
        <v>1</v>
      </c>
      <c r="J297" s="112" t="b">
        <v>0</v>
      </c>
      <c r="K297" s="112" t="b">
        <v>0</v>
      </c>
      <c r="L297" s="112" t="s">
        <v>3496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DB09-C5D4-4FF1-91BB-62BF8686D1F3}">
  <dimension ref="A1:C68"/>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29" t="s">
        <v>42</v>
      </c>
    </row>
    <row r="2" spans="1:3" ht="15" customHeight="1">
      <c r="A2" s="7" t="s">
        <v>3400</v>
      </c>
      <c r="B2" s="107" t="s">
        <v>3401</v>
      </c>
      <c r="C2" s="97" t="s">
        <v>3176</v>
      </c>
    </row>
    <row r="3" spans="1:3" ht="15">
      <c r="A3" s="106" t="s">
        <v>3178</v>
      </c>
      <c r="B3" s="106" t="s">
        <v>3178</v>
      </c>
      <c r="C3" s="30">
        <v>36</v>
      </c>
    </row>
    <row r="4" spans="1:3" ht="15">
      <c r="A4" s="106" t="s">
        <v>3178</v>
      </c>
      <c r="B4" s="108" t="s">
        <v>3196</v>
      </c>
      <c r="C4" s="30">
        <v>1</v>
      </c>
    </row>
    <row r="5" spans="1:3" ht="15">
      <c r="A5" s="106" t="s">
        <v>3179</v>
      </c>
      <c r="B5" s="108" t="s">
        <v>3179</v>
      </c>
      <c r="C5" s="30">
        <v>18</v>
      </c>
    </row>
    <row r="6" spans="1:3" ht="15">
      <c r="A6" s="106" t="s">
        <v>3179</v>
      </c>
      <c r="B6" s="108" t="s">
        <v>3181</v>
      </c>
      <c r="C6" s="30">
        <v>1</v>
      </c>
    </row>
    <row r="7" spans="1:3" ht="15">
      <c r="A7" s="106" t="s">
        <v>3179</v>
      </c>
      <c r="B7" s="108" t="s">
        <v>3183</v>
      </c>
      <c r="C7" s="30">
        <v>2</v>
      </c>
    </row>
    <row r="8" spans="1:3" ht="15">
      <c r="A8" s="106" t="s">
        <v>3179</v>
      </c>
      <c r="B8" s="108" t="s">
        <v>3185</v>
      </c>
      <c r="C8" s="30">
        <v>1</v>
      </c>
    </row>
    <row r="9" spans="1:3" ht="15">
      <c r="A9" s="106" t="s">
        <v>3179</v>
      </c>
      <c r="B9" s="108" t="s">
        <v>3186</v>
      </c>
      <c r="C9" s="30">
        <v>1</v>
      </c>
    </row>
    <row r="10" spans="1:3" ht="15">
      <c r="A10" s="106" t="s">
        <v>3179</v>
      </c>
      <c r="B10" s="108" t="s">
        <v>3187</v>
      </c>
      <c r="C10" s="30">
        <v>3</v>
      </c>
    </row>
    <row r="11" spans="1:3" ht="15">
      <c r="A11" s="106" t="s">
        <v>3179</v>
      </c>
      <c r="B11" s="108" t="s">
        <v>3190</v>
      </c>
      <c r="C11" s="30">
        <v>1</v>
      </c>
    </row>
    <row r="12" spans="1:3" ht="15">
      <c r="A12" s="106" t="s">
        <v>3180</v>
      </c>
      <c r="B12" s="108" t="s">
        <v>3180</v>
      </c>
      <c r="C12" s="30">
        <v>18</v>
      </c>
    </row>
    <row r="13" spans="1:3" ht="15">
      <c r="A13" s="106" t="s">
        <v>3181</v>
      </c>
      <c r="B13" s="108" t="s">
        <v>3181</v>
      </c>
      <c r="C13" s="30">
        <v>15</v>
      </c>
    </row>
    <row r="14" spans="1:3" ht="15">
      <c r="A14" s="106" t="s">
        <v>3181</v>
      </c>
      <c r="B14" s="108" t="s">
        <v>3185</v>
      </c>
      <c r="C14" s="30">
        <v>1</v>
      </c>
    </row>
    <row r="15" spans="1:3" ht="15">
      <c r="A15" s="106" t="s">
        <v>3182</v>
      </c>
      <c r="B15" s="108" t="s">
        <v>3181</v>
      </c>
      <c r="C15" s="30">
        <v>2</v>
      </c>
    </row>
    <row r="16" spans="1:3" ht="15">
      <c r="A16" s="106" t="s">
        <v>3182</v>
      </c>
      <c r="B16" s="108" t="s">
        <v>3182</v>
      </c>
      <c r="C16" s="30">
        <v>19</v>
      </c>
    </row>
    <row r="17" spans="1:3" ht="15">
      <c r="A17" s="106" t="s">
        <v>3182</v>
      </c>
      <c r="B17" s="108" t="s">
        <v>3183</v>
      </c>
      <c r="C17" s="30">
        <v>1</v>
      </c>
    </row>
    <row r="18" spans="1:3" ht="15">
      <c r="A18" s="106" t="s">
        <v>3182</v>
      </c>
      <c r="B18" s="108" t="s">
        <v>3185</v>
      </c>
      <c r="C18" s="30">
        <v>1</v>
      </c>
    </row>
    <row r="19" spans="1:3" ht="15">
      <c r="A19" s="106" t="s">
        <v>3182</v>
      </c>
      <c r="B19" s="108" t="s">
        <v>3187</v>
      </c>
      <c r="C19" s="30">
        <v>2</v>
      </c>
    </row>
    <row r="20" spans="1:3" ht="15">
      <c r="A20" s="106" t="s">
        <v>3182</v>
      </c>
      <c r="B20" s="108" t="s">
        <v>3189</v>
      </c>
      <c r="C20" s="30">
        <v>2</v>
      </c>
    </row>
    <row r="21" spans="1:3" ht="15">
      <c r="A21" s="106" t="s">
        <v>3182</v>
      </c>
      <c r="B21" s="108" t="s">
        <v>3196</v>
      </c>
      <c r="C21" s="30">
        <v>1</v>
      </c>
    </row>
    <row r="22" spans="1:3" ht="15">
      <c r="A22" s="106" t="s">
        <v>3183</v>
      </c>
      <c r="B22" s="108" t="s">
        <v>3183</v>
      </c>
      <c r="C22" s="30">
        <v>14</v>
      </c>
    </row>
    <row r="23" spans="1:3" ht="15">
      <c r="A23" s="106" t="s">
        <v>3183</v>
      </c>
      <c r="B23" s="108" t="s">
        <v>3188</v>
      </c>
      <c r="C23" s="30">
        <v>1</v>
      </c>
    </row>
    <row r="24" spans="1:3" ht="15">
      <c r="A24" s="106" t="s">
        <v>3183</v>
      </c>
      <c r="B24" s="108" t="s">
        <v>3190</v>
      </c>
      <c r="C24" s="30">
        <v>1</v>
      </c>
    </row>
    <row r="25" spans="1:3" ht="15">
      <c r="A25" s="106" t="s">
        <v>3184</v>
      </c>
      <c r="B25" s="108" t="s">
        <v>3184</v>
      </c>
      <c r="C25" s="30">
        <v>10</v>
      </c>
    </row>
    <row r="26" spans="1:3" ht="15">
      <c r="A26" s="106" t="s">
        <v>3185</v>
      </c>
      <c r="B26" s="108" t="s">
        <v>3182</v>
      </c>
      <c r="C26" s="30">
        <v>1</v>
      </c>
    </row>
    <row r="27" spans="1:3" ht="15">
      <c r="A27" s="106" t="s">
        <v>3185</v>
      </c>
      <c r="B27" s="108" t="s">
        <v>3185</v>
      </c>
      <c r="C27" s="30">
        <v>11</v>
      </c>
    </row>
    <row r="28" spans="1:3" ht="15">
      <c r="A28" s="106" t="s">
        <v>3185</v>
      </c>
      <c r="B28" s="108" t="s">
        <v>3188</v>
      </c>
      <c r="C28" s="30">
        <v>1</v>
      </c>
    </row>
    <row r="29" spans="1:3" ht="15">
      <c r="A29" s="106" t="s">
        <v>3185</v>
      </c>
      <c r="B29" s="108" t="s">
        <v>3196</v>
      </c>
      <c r="C29" s="30">
        <v>1</v>
      </c>
    </row>
    <row r="30" spans="1:3" ht="15">
      <c r="A30" s="106" t="s">
        <v>3186</v>
      </c>
      <c r="B30" s="108" t="s">
        <v>3186</v>
      </c>
      <c r="C30" s="30">
        <v>10</v>
      </c>
    </row>
    <row r="31" spans="1:3" ht="15">
      <c r="A31" s="106" t="s">
        <v>3187</v>
      </c>
      <c r="B31" s="108" t="s">
        <v>3183</v>
      </c>
      <c r="C31" s="30">
        <v>1</v>
      </c>
    </row>
    <row r="32" spans="1:3" ht="15">
      <c r="A32" s="106" t="s">
        <v>3187</v>
      </c>
      <c r="B32" s="108" t="s">
        <v>3187</v>
      </c>
      <c r="C32" s="30">
        <v>10</v>
      </c>
    </row>
    <row r="33" spans="1:3" ht="15">
      <c r="A33" s="106" t="s">
        <v>3187</v>
      </c>
      <c r="B33" s="108" t="s">
        <v>3190</v>
      </c>
      <c r="C33" s="30">
        <v>1</v>
      </c>
    </row>
    <row r="34" spans="1:3" ht="15">
      <c r="A34" s="106" t="s">
        <v>3188</v>
      </c>
      <c r="B34" s="108" t="s">
        <v>3183</v>
      </c>
      <c r="C34" s="30">
        <v>1</v>
      </c>
    </row>
    <row r="35" spans="1:3" ht="15">
      <c r="A35" s="106" t="s">
        <v>3188</v>
      </c>
      <c r="B35" s="108" t="s">
        <v>3188</v>
      </c>
      <c r="C35" s="30">
        <v>11</v>
      </c>
    </row>
    <row r="36" spans="1:3" ht="15">
      <c r="A36" s="106" t="s">
        <v>3189</v>
      </c>
      <c r="B36" s="108" t="s">
        <v>3183</v>
      </c>
      <c r="C36" s="30">
        <v>1</v>
      </c>
    </row>
    <row r="37" spans="1:3" ht="15">
      <c r="A37" s="106" t="s">
        <v>3189</v>
      </c>
      <c r="B37" s="108" t="s">
        <v>3189</v>
      </c>
      <c r="C37" s="30">
        <v>11</v>
      </c>
    </row>
    <row r="38" spans="1:3" ht="15">
      <c r="A38" s="106" t="s">
        <v>3190</v>
      </c>
      <c r="B38" s="108" t="s">
        <v>3186</v>
      </c>
      <c r="C38" s="30">
        <v>1</v>
      </c>
    </row>
    <row r="39" spans="1:3" ht="15">
      <c r="A39" s="106" t="s">
        <v>3190</v>
      </c>
      <c r="B39" s="108" t="s">
        <v>3190</v>
      </c>
      <c r="C39" s="30">
        <v>10</v>
      </c>
    </row>
    <row r="40" spans="1:3" ht="15">
      <c r="A40" s="106" t="s">
        <v>3191</v>
      </c>
      <c r="B40" s="108" t="s">
        <v>3191</v>
      </c>
      <c r="C40" s="30">
        <v>6</v>
      </c>
    </row>
    <row r="41" spans="1:3" ht="15">
      <c r="A41" s="106" t="s">
        <v>3192</v>
      </c>
      <c r="B41" s="108" t="s">
        <v>3192</v>
      </c>
      <c r="C41" s="30">
        <v>6</v>
      </c>
    </row>
    <row r="42" spans="1:3" ht="15">
      <c r="A42" s="106" t="s">
        <v>3193</v>
      </c>
      <c r="B42" s="108" t="s">
        <v>3193</v>
      </c>
      <c r="C42" s="30">
        <v>4</v>
      </c>
    </row>
    <row r="43" spans="1:3" ht="15">
      <c r="A43" s="106" t="s">
        <v>3194</v>
      </c>
      <c r="B43" s="108" t="s">
        <v>3194</v>
      </c>
      <c r="C43" s="30">
        <v>3</v>
      </c>
    </row>
    <row r="44" spans="1:3" ht="15">
      <c r="A44" s="106" t="s">
        <v>3195</v>
      </c>
      <c r="B44" s="108" t="s">
        <v>3195</v>
      </c>
      <c r="C44" s="30">
        <v>4</v>
      </c>
    </row>
    <row r="45" spans="1:3" ht="15">
      <c r="A45" s="106" t="s">
        <v>3196</v>
      </c>
      <c r="B45" s="108" t="s">
        <v>3188</v>
      </c>
      <c r="C45" s="30">
        <v>1</v>
      </c>
    </row>
    <row r="46" spans="1:3" ht="15">
      <c r="A46" s="106" t="s">
        <v>3196</v>
      </c>
      <c r="B46" s="108" t="s">
        <v>3196</v>
      </c>
      <c r="C46" s="30">
        <v>6</v>
      </c>
    </row>
    <row r="47" spans="1:3" ht="15">
      <c r="A47" s="106" t="s">
        <v>3197</v>
      </c>
      <c r="B47" s="108" t="s">
        <v>3197</v>
      </c>
      <c r="C47" s="30">
        <v>2</v>
      </c>
    </row>
    <row r="48" spans="1:3" ht="15">
      <c r="A48" s="106" t="s">
        <v>3198</v>
      </c>
      <c r="B48" s="108" t="s">
        <v>3198</v>
      </c>
      <c r="C48" s="30">
        <v>2</v>
      </c>
    </row>
    <row r="49" spans="1:3" ht="15">
      <c r="A49" s="106" t="s">
        <v>3199</v>
      </c>
      <c r="B49" s="108" t="s">
        <v>3199</v>
      </c>
      <c r="C49" s="30">
        <v>2</v>
      </c>
    </row>
    <row r="50" spans="1:3" ht="15">
      <c r="A50" s="106" t="s">
        <v>3200</v>
      </c>
      <c r="B50" s="108" t="s">
        <v>3200</v>
      </c>
      <c r="C50" s="30">
        <v>2</v>
      </c>
    </row>
    <row r="51" spans="1:3" ht="15">
      <c r="A51" s="106" t="s">
        <v>3201</v>
      </c>
      <c r="B51" s="108" t="s">
        <v>3201</v>
      </c>
      <c r="C51" s="30">
        <v>2</v>
      </c>
    </row>
    <row r="52" spans="1:3" ht="15">
      <c r="A52" s="106" t="s">
        <v>3202</v>
      </c>
      <c r="B52" s="108" t="s">
        <v>3202</v>
      </c>
      <c r="C52" s="30">
        <v>1</v>
      </c>
    </row>
    <row r="53" spans="1:3" ht="15">
      <c r="A53" s="106" t="s">
        <v>3203</v>
      </c>
      <c r="B53" s="108" t="s">
        <v>3203</v>
      </c>
      <c r="C53" s="30">
        <v>1</v>
      </c>
    </row>
    <row r="54" spans="1:3" ht="15">
      <c r="A54" s="106" t="s">
        <v>3204</v>
      </c>
      <c r="B54" s="108" t="s">
        <v>3204</v>
      </c>
      <c r="C54" s="30">
        <v>1</v>
      </c>
    </row>
    <row r="55" spans="1:3" ht="15">
      <c r="A55" s="106" t="s">
        <v>3205</v>
      </c>
      <c r="B55" s="108" t="s">
        <v>3205</v>
      </c>
      <c r="C55" s="30">
        <v>1</v>
      </c>
    </row>
    <row r="56" spans="1:3" ht="15">
      <c r="A56" s="106" t="s">
        <v>3206</v>
      </c>
      <c r="B56" s="108" t="s">
        <v>3206</v>
      </c>
      <c r="C56" s="30">
        <v>1</v>
      </c>
    </row>
    <row r="57" spans="1:3" ht="15">
      <c r="A57" s="106" t="s">
        <v>3207</v>
      </c>
      <c r="B57" s="108" t="s">
        <v>3207</v>
      </c>
      <c r="C57" s="30">
        <v>1</v>
      </c>
    </row>
    <row r="58" spans="1:3" ht="15">
      <c r="A58" s="106" t="s">
        <v>3208</v>
      </c>
      <c r="B58" s="108" t="s">
        <v>3208</v>
      </c>
      <c r="C58" s="30">
        <v>1</v>
      </c>
    </row>
    <row r="59" spans="1:3" ht="15">
      <c r="A59" s="106" t="s">
        <v>3209</v>
      </c>
      <c r="B59" s="108" t="s">
        <v>3209</v>
      </c>
      <c r="C59" s="30">
        <v>1</v>
      </c>
    </row>
    <row r="60" spans="1:3" ht="15">
      <c r="A60" s="106" t="s">
        <v>3210</v>
      </c>
      <c r="B60" s="108" t="s">
        <v>3210</v>
      </c>
      <c r="C60" s="30">
        <v>1</v>
      </c>
    </row>
    <row r="61" spans="1:3" ht="15">
      <c r="A61" s="106" t="s">
        <v>3211</v>
      </c>
      <c r="B61" s="108" t="s">
        <v>3211</v>
      </c>
      <c r="C61" s="30">
        <v>1</v>
      </c>
    </row>
    <row r="62" spans="1:3" ht="15">
      <c r="A62" s="106" t="s">
        <v>3212</v>
      </c>
      <c r="B62" s="108" t="s">
        <v>3212</v>
      </c>
      <c r="C62" s="30">
        <v>1</v>
      </c>
    </row>
    <row r="63" spans="1:3" ht="15">
      <c r="A63" s="106" t="s">
        <v>3213</v>
      </c>
      <c r="B63" s="108" t="s">
        <v>3213</v>
      </c>
      <c r="C63" s="30">
        <v>1</v>
      </c>
    </row>
    <row r="64" spans="1:3" ht="15">
      <c r="A64" s="106" t="s">
        <v>3214</v>
      </c>
      <c r="B64" s="108" t="s">
        <v>3214</v>
      </c>
      <c r="C64" s="30">
        <v>2</v>
      </c>
    </row>
    <row r="65" spans="1:3" ht="15">
      <c r="A65" s="106" t="s">
        <v>3493</v>
      </c>
      <c r="B65" s="108" t="s">
        <v>3493</v>
      </c>
      <c r="C65" s="30">
        <v>2</v>
      </c>
    </row>
    <row r="66" spans="1:3" ht="15">
      <c r="A66" s="106" t="s">
        <v>3494</v>
      </c>
      <c r="B66" s="108" t="s">
        <v>3494</v>
      </c>
      <c r="C66" s="30">
        <v>2</v>
      </c>
    </row>
    <row r="67" spans="1:3" ht="15">
      <c r="A67" s="106" t="s">
        <v>3495</v>
      </c>
      <c r="B67" s="108" t="s">
        <v>3495</v>
      </c>
      <c r="C67" s="30">
        <v>2</v>
      </c>
    </row>
    <row r="68" spans="1:3" ht="15">
      <c r="A68" s="109" t="s">
        <v>3496</v>
      </c>
      <c r="B68" s="108" t="s">
        <v>3496</v>
      </c>
      <c r="C68" s="30">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80D6-A812-4766-BFA1-9551C12FC590}">
  <dimension ref="A1:BU208"/>
  <sheetViews>
    <sheetView workbookViewId="0" topLeftCell="A1">
      <pane xSplit="2" ySplit="2" topLeftCell="O69" activePane="bottomRight" state="frozen"/>
      <selection pane="topRight" activeCell="C1" sqref="C1"/>
      <selection pane="bottomLeft" activeCell="A3" sqref="A3"/>
      <selection pane="bottomRight" activeCell="A2" sqref="A2:BU2"/>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REPLACE(INDEX(GroupVertices[Group],MATCH("~"&amp;Edges37[[#This Row],[Vertex 1]],GroupVertices[Vertex],0)),1,1,"")</f>
        <v>25</v>
      </c>
      <c r="BU3" s="112" t="str">
        <f>REPLACE(INDEX(GroupVertices[Group],MATCH("~"&amp;Edges37[[#This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REPLACE(INDEX(GroupVertices[Group],MATCH("~"&amp;Edges37[[#This Row],[Vertex 1]],GroupVertices[Vertex],0)),1,1,"")</f>
        <v>3</v>
      </c>
      <c r="BU4" s="112" t="str">
        <f>REPLACE(INDEX(GroupVertices[Group],MATCH("~"&amp;Edges37[[#This Row],[Vertex 2]],GroupVertices[Vertex],0)),1,1,"")</f>
        <v>3</v>
      </c>
    </row>
    <row r="5" spans="1:73" ht="45">
      <c r="A5" s="59" t="s">
        <v>223</v>
      </c>
      <c r="B5" s="59" t="s">
        <v>344</v>
      </c>
      <c r="C5" s="60"/>
      <c r="D5" s="61"/>
      <c r="E5" s="62"/>
      <c r="F5" s="63"/>
      <c r="G5" s="60"/>
      <c r="H5" s="64"/>
      <c r="I5" s="65"/>
      <c r="J5" s="65"/>
      <c r="K5" s="30" t="s">
        <v>65</v>
      </c>
      <c r="L5" s="72">
        <v>5</v>
      </c>
      <c r="M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REPLACE(INDEX(GroupVertices[Group],MATCH("~"&amp;Edges37[[#This Row],[Vertex 1]],GroupVertices[Vertex],0)),1,1,"")</f>
        <v>6</v>
      </c>
      <c r="BU5" s="112" t="str">
        <f>REPLACE(INDEX(GroupVertices[Group],MATCH("~"&amp;Edges37[[#This Row],[Vertex 2]],GroupVertices[Vertex],0)),1,1,"")</f>
        <v>6</v>
      </c>
    </row>
    <row r="6" spans="1:73" ht="15">
      <c r="A6" s="59" t="s">
        <v>224</v>
      </c>
      <c r="B6" s="59" t="s">
        <v>345</v>
      </c>
      <c r="C6" s="60"/>
      <c r="D6" s="61"/>
      <c r="E6" s="62"/>
      <c r="F6" s="63"/>
      <c r="G6" s="60"/>
      <c r="H6" s="64"/>
      <c r="I6" s="65"/>
      <c r="J6" s="65"/>
      <c r="K6" s="30" t="s">
        <v>65</v>
      </c>
      <c r="L6" s="72">
        <v>6</v>
      </c>
      <c r="M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REPLACE(INDEX(GroupVertices[Group],MATCH("~"&amp;Edges37[[#This Row],[Vertex 1]],GroupVertices[Vertex],0)),1,1,"")</f>
        <v>16</v>
      </c>
      <c r="BU6" s="112" t="str">
        <f>REPLACE(INDEX(GroupVertices[Group],MATCH("~"&amp;Edges37[[#This Row],[Vertex 2]],GroupVertices[Vertex],0)),1,1,"")</f>
        <v>16</v>
      </c>
    </row>
    <row r="7" spans="1:73" ht="15">
      <c r="A7" s="59" t="s">
        <v>225</v>
      </c>
      <c r="B7" s="59" t="s">
        <v>346</v>
      </c>
      <c r="C7" s="60"/>
      <c r="D7" s="61"/>
      <c r="E7" s="62"/>
      <c r="F7" s="63"/>
      <c r="G7" s="60"/>
      <c r="H7" s="64"/>
      <c r="I7" s="65"/>
      <c r="J7" s="65"/>
      <c r="K7" s="30" t="s">
        <v>65</v>
      </c>
      <c r="L7" s="72">
        <v>7</v>
      </c>
      <c r="M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REPLACE(INDEX(GroupVertices[Group],MATCH("~"&amp;Edges37[[#This Row],[Vertex 1]],GroupVertices[Vertex],0)),1,1,"")</f>
        <v>26</v>
      </c>
      <c r="BU7" s="112" t="str">
        <f>REPLACE(INDEX(GroupVertices[Group],MATCH("~"&amp;Edges37[[#This Row],[Vertex 2]],GroupVertices[Vertex],0)),1,1,"")</f>
        <v>26</v>
      </c>
    </row>
    <row r="8" spans="1:73" ht="15">
      <c r="A8" s="59" t="s">
        <v>226</v>
      </c>
      <c r="B8" s="59" t="s">
        <v>347</v>
      </c>
      <c r="C8" s="60"/>
      <c r="D8" s="61"/>
      <c r="E8" s="62"/>
      <c r="F8" s="63"/>
      <c r="G8" s="60"/>
      <c r="H8" s="64"/>
      <c r="I8" s="65"/>
      <c r="J8" s="65"/>
      <c r="K8" s="30" t="s">
        <v>65</v>
      </c>
      <c r="L8" s="72">
        <v>8</v>
      </c>
      <c r="M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REPLACE(INDEX(GroupVertices[Group],MATCH("~"&amp;Edges37[[#This Row],[Vertex 1]],GroupVertices[Vertex],0)),1,1,"")</f>
        <v>8</v>
      </c>
      <c r="BU8" s="112" t="str">
        <f>REPLACE(INDEX(GroupVertices[Group],MATCH("~"&amp;Edges37[[#This Row],[Vertex 2]],GroupVertices[Vertex],0)),1,1,"")</f>
        <v>8</v>
      </c>
    </row>
    <row r="9" spans="1:73" ht="15">
      <c r="A9" s="59" t="s">
        <v>226</v>
      </c>
      <c r="B9" s="59" t="s">
        <v>349</v>
      </c>
      <c r="C9" s="60"/>
      <c r="D9" s="61"/>
      <c r="E9" s="62"/>
      <c r="F9" s="63"/>
      <c r="G9" s="60"/>
      <c r="H9" s="64"/>
      <c r="I9" s="65"/>
      <c r="J9" s="65"/>
      <c r="K9" s="30" t="s">
        <v>65</v>
      </c>
      <c r="L9" s="72">
        <v>10</v>
      </c>
      <c r="M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 s="67"/>
      <c r="O9" t="s">
        <v>482</v>
      </c>
      <c r="P9" s="73">
        <v>44571.93622685185</v>
      </c>
      <c r="Q9" t="s">
        <v>491</v>
      </c>
      <c r="R9">
        <v>1</v>
      </c>
      <c r="S9">
        <v>2</v>
      </c>
      <c r="T9">
        <v>1</v>
      </c>
      <c r="U9">
        <v>0</v>
      </c>
      <c r="Z9" t="s">
        <v>338</v>
      </c>
      <c r="AC9" s="74" t="s">
        <v>787</v>
      </c>
      <c r="AD9" t="s">
        <v>794</v>
      </c>
      <c r="AE9" s="75" t="str">
        <f>HYPERLINK("https://twitter.com/akalseh18332460/status/1480667810476920832")</f>
        <v>https://twitter.com/akalseh18332460/status/1480667810476920832</v>
      </c>
      <c r="AF9" s="73">
        <v>44571.93622685185</v>
      </c>
      <c r="AG9" s="77">
        <v>44571</v>
      </c>
      <c r="AH9" s="74" t="s">
        <v>805</v>
      </c>
      <c r="AV9" s="75" t="str">
        <f>HYPERLINK("https://abs.twimg.com/sticky/default_profile_images/default_profile_normal.png")</f>
        <v>https://abs.twimg.com/sticky/default_profile_images/default_profile_normal.png</v>
      </c>
      <c r="AW9" s="74" t="s">
        <v>1026</v>
      </c>
      <c r="AX9" s="74" t="s">
        <v>1232</v>
      </c>
      <c r="AY9" s="74" t="s">
        <v>1316</v>
      </c>
      <c r="AZ9" s="74" t="s">
        <v>1386</v>
      </c>
      <c r="BA9" s="74" t="s">
        <v>1384</v>
      </c>
      <c r="BB9" s="74" t="s">
        <v>1384</v>
      </c>
      <c r="BC9" s="74" t="s">
        <v>1386</v>
      </c>
      <c r="BD9" s="74" t="s">
        <v>1406</v>
      </c>
      <c r="BJ9" s="44">
        <v>3</v>
      </c>
      <c r="BK9" s="45">
        <v>42.857142857142854</v>
      </c>
      <c r="BL9" s="44">
        <v>0</v>
      </c>
      <c r="BM9" s="45">
        <v>0</v>
      </c>
      <c r="BN9" s="44">
        <v>0</v>
      </c>
      <c r="BO9" s="45">
        <v>0</v>
      </c>
      <c r="BP9" s="44">
        <v>4</v>
      </c>
      <c r="BQ9" s="45">
        <v>57.142857142857146</v>
      </c>
      <c r="BR9" s="44">
        <v>7</v>
      </c>
      <c r="BS9">
        <v>1</v>
      </c>
      <c r="BT9" s="112" t="str">
        <f>REPLACE(INDEX(GroupVertices[Group],MATCH("~"&amp;Edges37[[#This Row],[Vertex 1]],GroupVertices[Vertex],0)),1,1,"")</f>
        <v>8</v>
      </c>
      <c r="BU9" s="112" t="str">
        <f>REPLACE(INDEX(GroupVertices[Group],MATCH("~"&amp;Edges37[[#This Row],[Vertex 2]],GroupVertices[Vertex],0)),1,1,"")</f>
        <v>8</v>
      </c>
    </row>
    <row r="10" spans="1:73" ht="15">
      <c r="A10" s="59" t="s">
        <v>226</v>
      </c>
      <c r="B10" s="59" t="s">
        <v>350</v>
      </c>
      <c r="C10" s="60"/>
      <c r="D10" s="61"/>
      <c r="E10" s="62"/>
      <c r="F10" s="63"/>
      <c r="G10" s="60"/>
      <c r="H10" s="64"/>
      <c r="I10" s="65"/>
      <c r="J10" s="65"/>
      <c r="K10" s="30" t="s">
        <v>65</v>
      </c>
      <c r="L10" s="72">
        <v>11</v>
      </c>
      <c r="M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 s="67"/>
      <c r="O10" t="s">
        <v>482</v>
      </c>
      <c r="P10" s="73">
        <v>44571.92932870371</v>
      </c>
      <c r="Q10" t="s">
        <v>492</v>
      </c>
      <c r="R10">
        <v>0</v>
      </c>
      <c r="S10">
        <v>0</v>
      </c>
      <c r="T10">
        <v>0</v>
      </c>
      <c r="U10">
        <v>0</v>
      </c>
      <c r="Z10" t="s">
        <v>350</v>
      </c>
      <c r="AC10" s="74" t="s">
        <v>787</v>
      </c>
      <c r="AD10" t="s">
        <v>794</v>
      </c>
      <c r="AE10" s="75" t="str">
        <f>HYPERLINK("https://twitter.com/akalseh18332460/status/1480665313251246081")</f>
        <v>https://twitter.com/akalseh18332460/status/1480665313251246081</v>
      </c>
      <c r="AF10" s="73">
        <v>44571.92932870371</v>
      </c>
      <c r="AG10" s="77">
        <v>44571</v>
      </c>
      <c r="AH10" s="74" t="s">
        <v>806</v>
      </c>
      <c r="AV10" s="75" t="str">
        <f>HYPERLINK("https://abs.twimg.com/sticky/default_profile_images/default_profile_normal.png")</f>
        <v>https://abs.twimg.com/sticky/default_profile_images/default_profile_normal.png</v>
      </c>
      <c r="AW10" s="74" t="s">
        <v>1027</v>
      </c>
      <c r="AX10" s="74" t="s">
        <v>1233</v>
      </c>
      <c r="AY10" s="74" t="s">
        <v>1317</v>
      </c>
      <c r="AZ10" s="74" t="s">
        <v>1233</v>
      </c>
      <c r="BA10" s="74" t="s">
        <v>1384</v>
      </c>
      <c r="BB10" s="74" t="s">
        <v>1384</v>
      </c>
      <c r="BC10" s="74" t="s">
        <v>1233</v>
      </c>
      <c r="BD10" s="74" t="s">
        <v>1406</v>
      </c>
      <c r="BJ10" s="44">
        <v>3</v>
      </c>
      <c r="BK10" s="45">
        <v>60</v>
      </c>
      <c r="BL10" s="44">
        <v>0</v>
      </c>
      <c r="BM10" s="45">
        <v>0</v>
      </c>
      <c r="BN10" s="44">
        <v>0</v>
      </c>
      <c r="BO10" s="45">
        <v>0</v>
      </c>
      <c r="BP10" s="44">
        <v>2</v>
      </c>
      <c r="BQ10" s="45">
        <v>40</v>
      </c>
      <c r="BR10" s="44">
        <v>5</v>
      </c>
      <c r="BS10">
        <v>1</v>
      </c>
      <c r="BT10" s="112" t="str">
        <f>REPLACE(INDEX(GroupVertices[Group],MATCH("~"&amp;Edges37[[#This Row],[Vertex 1]],GroupVertices[Vertex],0)),1,1,"")</f>
        <v>8</v>
      </c>
      <c r="BU10" s="112" t="str">
        <f>REPLACE(INDEX(GroupVertices[Group],MATCH("~"&amp;Edges37[[#This Row],[Vertex 2]],GroupVertices[Vertex],0)),1,1,"")</f>
        <v>8</v>
      </c>
    </row>
    <row r="11" spans="1:73" ht="15">
      <c r="A11" s="59" t="s">
        <v>226</v>
      </c>
      <c r="B11" s="59" t="s">
        <v>335</v>
      </c>
      <c r="C11" s="60"/>
      <c r="D11" s="61"/>
      <c r="E11" s="62"/>
      <c r="F11" s="63"/>
      <c r="G11" s="60"/>
      <c r="H11" s="64"/>
      <c r="I11" s="65"/>
      <c r="J11" s="65"/>
      <c r="K11" s="30" t="s">
        <v>65</v>
      </c>
      <c r="L11" s="72">
        <v>12</v>
      </c>
      <c r="M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 s="67"/>
      <c r="O11" t="s">
        <v>484</v>
      </c>
      <c r="P11" s="73">
        <v>44572.0325</v>
      </c>
      <c r="Q11" t="s">
        <v>493</v>
      </c>
      <c r="R11">
        <v>0</v>
      </c>
      <c r="S11">
        <v>0</v>
      </c>
      <c r="T11">
        <v>0</v>
      </c>
      <c r="U11">
        <v>0</v>
      </c>
      <c r="W11" s="74" t="s">
        <v>681</v>
      </c>
      <c r="AC11" s="74" t="s">
        <v>787</v>
      </c>
      <c r="AD11" t="s">
        <v>794</v>
      </c>
      <c r="AE11" s="75" t="str">
        <f>HYPERLINK("https://twitter.com/akalseh18332460/status/1480702701193228289")</f>
        <v>https://twitter.com/akalseh18332460/status/1480702701193228289</v>
      </c>
      <c r="AF11" s="73">
        <v>44572.0325</v>
      </c>
      <c r="AG11" s="77">
        <v>44572</v>
      </c>
      <c r="AH11" s="74" t="s">
        <v>807</v>
      </c>
      <c r="AV11" s="75" t="str">
        <f>HYPERLINK("https://abs.twimg.com/sticky/default_profile_images/default_profile_normal.png")</f>
        <v>https://abs.twimg.com/sticky/default_profile_images/default_profile_normal.png</v>
      </c>
      <c r="AW11" s="74" t="s">
        <v>1028</v>
      </c>
      <c r="AX11" s="74" t="s">
        <v>1028</v>
      </c>
      <c r="AZ11" s="74" t="s">
        <v>1384</v>
      </c>
      <c r="BA11" s="74" t="s">
        <v>1206</v>
      </c>
      <c r="BB11" s="74" t="s">
        <v>1384</v>
      </c>
      <c r="BC11" s="74" t="s">
        <v>1206</v>
      </c>
      <c r="BD11" s="74" t="s">
        <v>1406</v>
      </c>
      <c r="BJ11" s="44">
        <v>3</v>
      </c>
      <c r="BK11" s="45">
        <v>60</v>
      </c>
      <c r="BL11" s="44">
        <v>0</v>
      </c>
      <c r="BM11" s="45">
        <v>0</v>
      </c>
      <c r="BN11" s="44">
        <v>0</v>
      </c>
      <c r="BO11" s="45">
        <v>0</v>
      </c>
      <c r="BP11" s="44">
        <v>2</v>
      </c>
      <c r="BQ11" s="45">
        <v>40</v>
      </c>
      <c r="BR11" s="44">
        <v>5</v>
      </c>
      <c r="BS11">
        <v>8</v>
      </c>
      <c r="BT11" s="112" t="str">
        <f>REPLACE(INDEX(GroupVertices[Group],MATCH("~"&amp;Edges37[[#This Row],[Vertex 1]],GroupVertices[Vertex],0)),1,1,"")</f>
        <v>8</v>
      </c>
      <c r="BU11" s="112" t="str">
        <f>REPLACE(INDEX(GroupVertices[Group],MATCH("~"&amp;Edges37[[#This Row],[Vertex 2]],GroupVertices[Vertex],0)),1,1,"")</f>
        <v>5</v>
      </c>
    </row>
    <row r="12" spans="1:73" ht="15">
      <c r="A12" s="59" t="s">
        <v>226</v>
      </c>
      <c r="B12" s="59" t="s">
        <v>328</v>
      </c>
      <c r="C12" s="60"/>
      <c r="D12" s="61"/>
      <c r="E12" s="62"/>
      <c r="F12" s="63"/>
      <c r="G12" s="60"/>
      <c r="H12" s="64"/>
      <c r="I12" s="65"/>
      <c r="J12" s="65"/>
      <c r="K12" s="30" t="s">
        <v>65</v>
      </c>
      <c r="L12" s="72">
        <v>13</v>
      </c>
      <c r="M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 s="67"/>
      <c r="O12" t="s">
        <v>482</v>
      </c>
      <c r="P12" s="73">
        <v>44571.927766203706</v>
      </c>
      <c r="Q12" t="s">
        <v>494</v>
      </c>
      <c r="R12">
        <v>0</v>
      </c>
      <c r="S12">
        <v>0</v>
      </c>
      <c r="T12">
        <v>0</v>
      </c>
      <c r="U12">
        <v>0</v>
      </c>
      <c r="Z12" t="s">
        <v>328</v>
      </c>
      <c r="AC12" s="74" t="s">
        <v>787</v>
      </c>
      <c r="AD12" t="s">
        <v>794</v>
      </c>
      <c r="AE12" s="75" t="str">
        <f>HYPERLINK("https://twitter.com/akalseh18332460/status/1480664747326406659")</f>
        <v>https://twitter.com/akalseh18332460/status/1480664747326406659</v>
      </c>
      <c r="AF12" s="73">
        <v>44571.927766203706</v>
      </c>
      <c r="AG12" s="77">
        <v>44571</v>
      </c>
      <c r="AH12" s="74" t="s">
        <v>808</v>
      </c>
      <c r="AV12" s="75" t="str">
        <f>HYPERLINK("https://abs.twimg.com/sticky/default_profile_images/default_profile_normal.png")</f>
        <v>https://abs.twimg.com/sticky/default_profile_images/default_profile_normal.png</v>
      </c>
      <c r="AW12" s="74" t="s">
        <v>1029</v>
      </c>
      <c r="AX12" s="74" t="s">
        <v>1234</v>
      </c>
      <c r="AY12" s="74" t="s">
        <v>1318</v>
      </c>
      <c r="AZ12" s="74" t="s">
        <v>1234</v>
      </c>
      <c r="BA12" s="74" t="s">
        <v>1384</v>
      </c>
      <c r="BB12" s="74" t="s">
        <v>1384</v>
      </c>
      <c r="BC12" s="74" t="s">
        <v>1234</v>
      </c>
      <c r="BD12" s="74" t="s">
        <v>1406</v>
      </c>
      <c r="BJ12" s="44">
        <v>3</v>
      </c>
      <c r="BK12" s="45">
        <v>60</v>
      </c>
      <c r="BL12" s="44">
        <v>0</v>
      </c>
      <c r="BM12" s="45">
        <v>0</v>
      </c>
      <c r="BN12" s="44">
        <v>0</v>
      </c>
      <c r="BO12" s="45">
        <v>0</v>
      </c>
      <c r="BP12" s="44">
        <v>2</v>
      </c>
      <c r="BQ12" s="45">
        <v>40</v>
      </c>
      <c r="BR12" s="44">
        <v>5</v>
      </c>
      <c r="BS12">
        <v>1</v>
      </c>
      <c r="BT12" s="112" t="str">
        <f>REPLACE(INDEX(GroupVertices[Group],MATCH("~"&amp;Edges37[[#This Row],[Vertex 1]],GroupVertices[Vertex],0)),1,1,"")</f>
        <v>8</v>
      </c>
      <c r="BU12" s="112" t="str">
        <f>REPLACE(INDEX(GroupVertices[Group],MATCH("~"&amp;Edges37[[#This Row],[Vertex 2]],GroupVertices[Vertex],0)),1,1,"")</f>
        <v>19</v>
      </c>
    </row>
    <row r="13" spans="1:73" ht="15">
      <c r="A13" s="59" t="s">
        <v>226</v>
      </c>
      <c r="B13" s="59" t="s">
        <v>338</v>
      </c>
      <c r="C13" s="60"/>
      <c r="D13" s="61"/>
      <c r="E13" s="62"/>
      <c r="F13" s="63"/>
      <c r="G13" s="60"/>
      <c r="H13" s="64"/>
      <c r="I13" s="65"/>
      <c r="J13" s="65"/>
      <c r="K13" s="30" t="s">
        <v>65</v>
      </c>
      <c r="L13" s="72">
        <v>14</v>
      </c>
      <c r="M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 s="67"/>
      <c r="O13" t="s">
        <v>482</v>
      </c>
      <c r="P13" s="73">
        <v>44573.96865740741</v>
      </c>
      <c r="Q13" t="s">
        <v>495</v>
      </c>
      <c r="R13">
        <v>0</v>
      </c>
      <c r="S13">
        <v>0</v>
      </c>
      <c r="T13">
        <v>0</v>
      </c>
      <c r="U13">
        <v>0</v>
      </c>
      <c r="Z13" t="s">
        <v>338</v>
      </c>
      <c r="AC13" s="74" t="s">
        <v>787</v>
      </c>
      <c r="AD13" t="s">
        <v>794</v>
      </c>
      <c r="AE13" s="75" t="str">
        <f>HYPERLINK("https://twitter.com/akalseh18332460/status/1481404339281608705")</f>
        <v>https://twitter.com/akalseh18332460/status/1481404339281608705</v>
      </c>
      <c r="AF13" s="73">
        <v>44573.96865740741</v>
      </c>
      <c r="AG13" s="77">
        <v>44573</v>
      </c>
      <c r="AH13" s="74" t="s">
        <v>809</v>
      </c>
      <c r="AV13" s="75" t="str">
        <f>HYPERLINK("https://abs.twimg.com/sticky/default_profile_images/default_profile_normal.png")</f>
        <v>https://abs.twimg.com/sticky/default_profile_images/default_profile_normal.png</v>
      </c>
      <c r="AW13" s="74" t="s">
        <v>1030</v>
      </c>
      <c r="AX13" s="74" t="s">
        <v>1235</v>
      </c>
      <c r="AY13" s="74" t="s">
        <v>1320</v>
      </c>
      <c r="AZ13" s="74" t="s">
        <v>1235</v>
      </c>
      <c r="BA13" s="74" t="s">
        <v>1384</v>
      </c>
      <c r="BB13" s="74" t="s">
        <v>1384</v>
      </c>
      <c r="BC13" s="74" t="s">
        <v>1235</v>
      </c>
      <c r="BD13" s="74" t="s">
        <v>1406</v>
      </c>
      <c r="BJ13" s="44">
        <v>3</v>
      </c>
      <c r="BK13" s="45">
        <v>60</v>
      </c>
      <c r="BL13" s="44">
        <v>0</v>
      </c>
      <c r="BM13" s="45">
        <v>0</v>
      </c>
      <c r="BN13" s="44">
        <v>0</v>
      </c>
      <c r="BO13" s="45">
        <v>0</v>
      </c>
      <c r="BP13" s="44">
        <v>2</v>
      </c>
      <c r="BQ13" s="45">
        <v>40</v>
      </c>
      <c r="BR13" s="44">
        <v>5</v>
      </c>
      <c r="BS13">
        <v>1</v>
      </c>
      <c r="BT13" s="112" t="str">
        <f>REPLACE(INDEX(GroupVertices[Group],MATCH("~"&amp;Edges37[[#This Row],[Vertex 1]],GroupVertices[Vertex],0)),1,1,"")</f>
        <v>8</v>
      </c>
      <c r="BU13" s="112" t="str">
        <f>REPLACE(INDEX(GroupVertices[Group],MATCH("~"&amp;Edges37[[#This Row],[Vertex 2]],GroupVertices[Vertex],0)),1,1,"")</f>
        <v>8</v>
      </c>
    </row>
    <row r="14" spans="1:73" ht="15">
      <c r="A14" s="59" t="s">
        <v>227</v>
      </c>
      <c r="B14" s="59" t="s">
        <v>227</v>
      </c>
      <c r="C14" s="60"/>
      <c r="D14" s="61"/>
      <c r="E14" s="62"/>
      <c r="F14" s="63"/>
      <c r="G14" s="60"/>
      <c r="H14" s="64"/>
      <c r="I14" s="65"/>
      <c r="J14" s="65"/>
      <c r="K14" s="30" t="s">
        <v>65</v>
      </c>
      <c r="L14" s="72">
        <v>15</v>
      </c>
      <c r="M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 s="67"/>
      <c r="O14" t="s">
        <v>177</v>
      </c>
      <c r="P14" s="73">
        <v>44538.00181712963</v>
      </c>
      <c r="Q14" t="s">
        <v>496</v>
      </c>
      <c r="R14">
        <v>0</v>
      </c>
      <c r="S14">
        <v>0</v>
      </c>
      <c r="T14">
        <v>0</v>
      </c>
      <c r="U14">
        <v>0</v>
      </c>
      <c r="X14"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4" t="s">
        <v>709</v>
      </c>
      <c r="AC14" s="74" t="s">
        <v>786</v>
      </c>
      <c r="AD14" t="s">
        <v>794</v>
      </c>
      <c r="AE14" s="75" t="str">
        <f>HYPERLINK("https://twitter.com/pungpurwanto/status/1468370393182261250")</f>
        <v>https://twitter.com/pungpurwanto/status/1468370393182261250</v>
      </c>
      <c r="AF14" s="73">
        <v>44538.00181712963</v>
      </c>
      <c r="AG14" s="77">
        <v>44538</v>
      </c>
      <c r="AH14" s="74" t="s">
        <v>810</v>
      </c>
      <c r="AI14" t="b">
        <v>0</v>
      </c>
      <c r="AV14" s="75" t="str">
        <f>HYPERLINK("https://pbs.twimg.com/profile_images/1421653739430051840/0NoPDUNr_normal.jpg")</f>
        <v>https://pbs.twimg.com/profile_images/1421653739430051840/0NoPDUNr_normal.jpg</v>
      </c>
      <c r="AW14" s="74" t="s">
        <v>1031</v>
      </c>
      <c r="AX14" s="74" t="s">
        <v>1031</v>
      </c>
      <c r="AZ14" s="74" t="s">
        <v>1384</v>
      </c>
      <c r="BA14" s="74" t="s">
        <v>1384</v>
      </c>
      <c r="BB14" s="74" t="s">
        <v>1384</v>
      </c>
      <c r="BC14" s="74" t="s">
        <v>1031</v>
      </c>
      <c r="BD14">
        <v>131800607</v>
      </c>
      <c r="BJ14" s="44">
        <v>3</v>
      </c>
      <c r="BK14" s="45">
        <v>21.428571428571427</v>
      </c>
      <c r="BL14" s="44">
        <v>1</v>
      </c>
      <c r="BM14" s="45">
        <v>7.142857142857143</v>
      </c>
      <c r="BN14" s="44">
        <v>0</v>
      </c>
      <c r="BO14" s="45">
        <v>0</v>
      </c>
      <c r="BP14" s="44">
        <v>10</v>
      </c>
      <c r="BQ14" s="45">
        <v>71.42857142857143</v>
      </c>
      <c r="BR14" s="44">
        <v>14</v>
      </c>
      <c r="BS14">
        <v>1</v>
      </c>
      <c r="BT14" s="112" t="str">
        <f>REPLACE(INDEX(GroupVertices[Group],MATCH("~"&amp;Edges37[[#This Row],[Vertex 1]],GroupVertices[Vertex],0)),1,1,"")</f>
        <v>3</v>
      </c>
      <c r="BU14" s="112" t="str">
        <f>REPLACE(INDEX(GroupVertices[Group],MATCH("~"&amp;Edges37[[#This Row],[Vertex 2]],GroupVertices[Vertex],0)),1,1,"")</f>
        <v>3</v>
      </c>
    </row>
    <row r="15" spans="1:73" ht="15">
      <c r="A15" s="59" t="s">
        <v>228</v>
      </c>
      <c r="B15" s="59" t="s">
        <v>228</v>
      </c>
      <c r="C15" s="60"/>
      <c r="D15" s="61"/>
      <c r="E15" s="62"/>
      <c r="F15" s="63"/>
      <c r="G15" s="60"/>
      <c r="H15" s="64"/>
      <c r="I15" s="65"/>
      <c r="J15" s="65"/>
      <c r="K15" s="30" t="s">
        <v>65</v>
      </c>
      <c r="L15" s="72">
        <v>16</v>
      </c>
      <c r="M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 s="67"/>
      <c r="O15" t="s">
        <v>177</v>
      </c>
      <c r="P15" s="73">
        <v>44669.487962962965</v>
      </c>
      <c r="Q15" t="s">
        <v>497</v>
      </c>
      <c r="R15">
        <v>0</v>
      </c>
      <c r="S15">
        <v>0</v>
      </c>
      <c r="T15">
        <v>0</v>
      </c>
      <c r="U15">
        <v>0</v>
      </c>
      <c r="AC15" s="74" t="s">
        <v>787</v>
      </c>
      <c r="AD15" t="s">
        <v>794</v>
      </c>
      <c r="AE15" s="75" t="str">
        <f>HYPERLINK("https://twitter.com/parahyanganpost/status/1516019376289632261")</f>
        <v>https://twitter.com/parahyanganpost/status/1516019376289632261</v>
      </c>
      <c r="AF15" s="73">
        <v>44669.487962962965</v>
      </c>
      <c r="AG15" s="77">
        <v>44669</v>
      </c>
      <c r="AH15" s="74" t="s">
        <v>811</v>
      </c>
      <c r="AV15" s="75" t="str">
        <f>HYPERLINK("https://pbs.twimg.com/profile_images/528933545570361344/jyXh9Ea1_normal.jpeg")</f>
        <v>https://pbs.twimg.com/profile_images/528933545570361344/jyXh9Ea1_normal.jpeg</v>
      </c>
      <c r="AW15" s="74" t="s">
        <v>1032</v>
      </c>
      <c r="AX15" s="74" t="s">
        <v>1032</v>
      </c>
      <c r="AZ15" s="74" t="s">
        <v>1384</v>
      </c>
      <c r="BA15" s="74" t="s">
        <v>1384</v>
      </c>
      <c r="BB15" s="74" t="s">
        <v>1384</v>
      </c>
      <c r="BC15" s="74" t="s">
        <v>1032</v>
      </c>
      <c r="BD15">
        <v>276847477</v>
      </c>
      <c r="BJ15" s="44">
        <v>3</v>
      </c>
      <c r="BK15" s="45">
        <v>7.894736842105263</v>
      </c>
      <c r="BL15" s="44">
        <v>0</v>
      </c>
      <c r="BM15" s="45">
        <v>0</v>
      </c>
      <c r="BN15" s="44">
        <v>0</v>
      </c>
      <c r="BO15" s="45">
        <v>0</v>
      </c>
      <c r="BP15" s="44">
        <v>35</v>
      </c>
      <c r="BQ15" s="45">
        <v>92.10526315789474</v>
      </c>
      <c r="BR15" s="44">
        <v>38</v>
      </c>
      <c r="BS15">
        <v>1</v>
      </c>
      <c r="BT15" s="112" t="str">
        <f>REPLACE(INDEX(GroupVertices[Group],MATCH("~"&amp;Edges37[[#This Row],[Vertex 1]],GroupVertices[Vertex],0)),1,1,"")</f>
        <v>3</v>
      </c>
      <c r="BU15" s="112" t="str">
        <f>REPLACE(INDEX(GroupVertices[Group],MATCH("~"&amp;Edges37[[#This Row],[Vertex 2]],GroupVertices[Vertex],0)),1,1,"")</f>
        <v>3</v>
      </c>
    </row>
    <row r="16" spans="1:73" ht="15">
      <c r="A16" s="59" t="s">
        <v>229</v>
      </c>
      <c r="B16" s="59" t="s">
        <v>334</v>
      </c>
      <c r="C16" s="60"/>
      <c r="D16" s="61"/>
      <c r="E16" s="62"/>
      <c r="F16" s="63"/>
      <c r="G16" s="60"/>
      <c r="H16" s="64"/>
      <c r="I16" s="65"/>
      <c r="J16" s="65"/>
      <c r="K16" s="30" t="s">
        <v>65</v>
      </c>
      <c r="L16" s="72">
        <v>17</v>
      </c>
      <c r="M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 s="67"/>
      <c r="O16" t="s">
        <v>484</v>
      </c>
      <c r="P16" s="73">
        <v>44579.07087962963</v>
      </c>
      <c r="Q16" t="s">
        <v>498</v>
      </c>
      <c r="R16">
        <v>0</v>
      </c>
      <c r="S16">
        <v>0</v>
      </c>
      <c r="T16">
        <v>0</v>
      </c>
      <c r="U16">
        <v>0</v>
      </c>
      <c r="W16" s="74" t="s">
        <v>682</v>
      </c>
      <c r="AC16" s="74" t="s">
        <v>787</v>
      </c>
      <c r="AD16" t="s">
        <v>795</v>
      </c>
      <c r="AE16" s="75" t="str">
        <f>HYPERLINK("https://twitter.com/kopirasamantap/status/1483253324170158082")</f>
        <v>https://twitter.com/kopirasamantap/status/1483253324170158082</v>
      </c>
      <c r="AF16" s="73">
        <v>44579.07087962963</v>
      </c>
      <c r="AG16" s="77">
        <v>44579</v>
      </c>
      <c r="AH16" s="74" t="s">
        <v>812</v>
      </c>
      <c r="AV16" s="75" t="str">
        <f>HYPERLINK("https://pbs.twimg.com/profile_images/1579725028299780096/SyIJa330_normal.jpg")</f>
        <v>https://pbs.twimg.com/profile_images/1579725028299780096/SyIJa330_normal.jpg</v>
      </c>
      <c r="AW16" s="74" t="s">
        <v>1033</v>
      </c>
      <c r="AX16" s="74" t="s">
        <v>1033</v>
      </c>
      <c r="AZ16" s="74" t="s">
        <v>1384</v>
      </c>
      <c r="BA16" s="74" t="s">
        <v>1399</v>
      </c>
      <c r="BB16" s="74" t="s">
        <v>1384</v>
      </c>
      <c r="BC16" s="74" t="s">
        <v>1399</v>
      </c>
      <c r="BD16">
        <v>893021132</v>
      </c>
      <c r="BJ16" s="44">
        <v>0</v>
      </c>
      <c r="BK16" s="45">
        <v>0</v>
      </c>
      <c r="BL16" s="44">
        <v>0</v>
      </c>
      <c r="BM16" s="45">
        <v>0</v>
      </c>
      <c r="BN16" s="44">
        <v>0</v>
      </c>
      <c r="BO16" s="45">
        <v>0</v>
      </c>
      <c r="BP16" s="44">
        <v>1</v>
      </c>
      <c r="BQ16" s="45">
        <v>100</v>
      </c>
      <c r="BR16" s="44">
        <v>1</v>
      </c>
      <c r="BS16">
        <v>1</v>
      </c>
      <c r="BT16" s="112" t="str">
        <f>REPLACE(INDEX(GroupVertices[Group],MATCH("~"&amp;Edges37[[#This Row],[Vertex 1]],GroupVertices[Vertex],0)),1,1,"")</f>
        <v>4</v>
      </c>
      <c r="BU16" s="112" t="str">
        <f>REPLACE(INDEX(GroupVertices[Group],MATCH("~"&amp;Edges37[[#This Row],[Vertex 2]],GroupVertices[Vertex],0)),1,1,"")</f>
        <v>4</v>
      </c>
    </row>
    <row r="17" spans="1:73" ht="15">
      <c r="A17" s="59" t="s">
        <v>230</v>
      </c>
      <c r="B17" s="59" t="s">
        <v>351</v>
      </c>
      <c r="C17" s="60"/>
      <c r="D17" s="61"/>
      <c r="E17" s="62"/>
      <c r="F17" s="63"/>
      <c r="G17" s="60"/>
      <c r="H17" s="64"/>
      <c r="I17" s="65"/>
      <c r="J17" s="65"/>
      <c r="K17" s="30" t="s">
        <v>65</v>
      </c>
      <c r="L17" s="72">
        <v>18</v>
      </c>
      <c r="M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 s="67"/>
      <c r="O17" t="s">
        <v>482</v>
      </c>
      <c r="P17" s="73">
        <v>44903.18849537037</v>
      </c>
      <c r="Q17" t="s">
        <v>499</v>
      </c>
      <c r="R17">
        <v>0</v>
      </c>
      <c r="S17">
        <v>0</v>
      </c>
      <c r="T17">
        <v>0</v>
      </c>
      <c r="U17">
        <v>0</v>
      </c>
      <c r="Z17" t="s">
        <v>351</v>
      </c>
      <c r="AC17" s="74" t="s">
        <v>787</v>
      </c>
      <c r="AD17" t="s">
        <v>794</v>
      </c>
      <c r="AE17" s="75" t="str">
        <f>HYPERLINK("https://twitter.com/ahmadga18785105/status/1600709612583677952")</f>
        <v>https://twitter.com/ahmadga18785105/status/1600709612583677952</v>
      </c>
      <c r="AF17" s="73">
        <v>44903.18849537037</v>
      </c>
      <c r="AG17" s="77">
        <v>44903</v>
      </c>
      <c r="AH17" s="74" t="s">
        <v>813</v>
      </c>
      <c r="AV17" s="75" t="str">
        <f>HYPERLINK("https://pbs.twimg.com/profile_images/1535821403328741376/-JZH9ind_normal.png")</f>
        <v>https://pbs.twimg.com/profile_images/1535821403328741376/-JZH9ind_normal.png</v>
      </c>
      <c r="AW17" s="74" t="s">
        <v>1034</v>
      </c>
      <c r="AX17" s="74" t="s">
        <v>1236</v>
      </c>
      <c r="AY17" s="74" t="s">
        <v>1321</v>
      </c>
      <c r="AZ17" s="74" t="s">
        <v>1236</v>
      </c>
      <c r="BA17" s="74" t="s">
        <v>1384</v>
      </c>
      <c r="BB17" s="74" t="s">
        <v>1384</v>
      </c>
      <c r="BC17" s="74" t="s">
        <v>1236</v>
      </c>
      <c r="BD17" s="74" t="s">
        <v>1407</v>
      </c>
      <c r="BJ17" s="44">
        <v>3</v>
      </c>
      <c r="BK17" s="45">
        <v>20</v>
      </c>
      <c r="BL17" s="44">
        <v>1</v>
      </c>
      <c r="BM17" s="45">
        <v>6.666666666666667</v>
      </c>
      <c r="BN17" s="44">
        <v>0</v>
      </c>
      <c r="BO17" s="45">
        <v>0</v>
      </c>
      <c r="BP17" s="44">
        <v>11</v>
      </c>
      <c r="BQ17" s="45">
        <v>73.33333333333333</v>
      </c>
      <c r="BR17" s="44">
        <v>15</v>
      </c>
      <c r="BS17">
        <v>1</v>
      </c>
      <c r="BT17" s="112" t="str">
        <f>REPLACE(INDEX(GroupVertices[Group],MATCH("~"&amp;Edges37[[#This Row],[Vertex 1]],GroupVertices[Vertex],0)),1,1,"")</f>
        <v>12</v>
      </c>
      <c r="BU17" s="112" t="str">
        <f>REPLACE(INDEX(GroupVertices[Group],MATCH("~"&amp;Edges37[[#This Row],[Vertex 2]],GroupVertices[Vertex],0)),1,1,"")</f>
        <v>12</v>
      </c>
    </row>
    <row r="18" spans="1:73" ht="15">
      <c r="A18" s="59" t="s">
        <v>230</v>
      </c>
      <c r="B18" s="59" t="s">
        <v>352</v>
      </c>
      <c r="C18" s="60"/>
      <c r="D18" s="61"/>
      <c r="E18" s="62"/>
      <c r="F18" s="63"/>
      <c r="G18" s="60"/>
      <c r="H18" s="64"/>
      <c r="I18" s="65"/>
      <c r="J18" s="65"/>
      <c r="K18" s="30" t="s">
        <v>65</v>
      </c>
      <c r="L18" s="72">
        <v>19</v>
      </c>
      <c r="M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 s="67"/>
      <c r="O18" t="s">
        <v>482</v>
      </c>
      <c r="P18" s="73">
        <v>44871.48694444444</v>
      </c>
      <c r="Q18" t="s">
        <v>500</v>
      </c>
      <c r="R18">
        <v>0</v>
      </c>
      <c r="S18">
        <v>1</v>
      </c>
      <c r="T18">
        <v>0</v>
      </c>
      <c r="U18">
        <v>0</v>
      </c>
      <c r="Z18" t="s">
        <v>727</v>
      </c>
      <c r="AC18" s="74" t="s">
        <v>787</v>
      </c>
      <c r="AD18" t="s">
        <v>794</v>
      </c>
      <c r="AE18" s="75" t="str">
        <f>HYPERLINK("https://twitter.com/ahmadga18785105/status/1589221355366801410")</f>
        <v>https://twitter.com/ahmadga18785105/status/1589221355366801410</v>
      </c>
      <c r="AF18" s="73">
        <v>44871.48694444444</v>
      </c>
      <c r="AG18" s="77">
        <v>44871</v>
      </c>
      <c r="AH18" s="74" t="s">
        <v>814</v>
      </c>
      <c r="AV18" s="75" t="str">
        <f>HYPERLINK("https://pbs.twimg.com/profile_images/1535821403328741376/-JZH9ind_normal.png")</f>
        <v>https://pbs.twimg.com/profile_images/1535821403328741376/-JZH9ind_normal.png</v>
      </c>
      <c r="AW18" s="74" t="s">
        <v>1035</v>
      </c>
      <c r="AX18" s="74" t="s">
        <v>1237</v>
      </c>
      <c r="AY18" s="74" t="s">
        <v>1322</v>
      </c>
      <c r="AZ18" s="74" t="s">
        <v>1387</v>
      </c>
      <c r="BA18" s="74" t="s">
        <v>1384</v>
      </c>
      <c r="BB18" s="74" t="s">
        <v>1384</v>
      </c>
      <c r="BC18" s="74" t="s">
        <v>1387</v>
      </c>
      <c r="BD18" s="74" t="s">
        <v>1407</v>
      </c>
      <c r="BJ18" s="44">
        <v>6</v>
      </c>
      <c r="BK18" s="45">
        <v>16.666666666666668</v>
      </c>
      <c r="BL18" s="44">
        <v>4</v>
      </c>
      <c r="BM18" s="45">
        <v>11.11111111111111</v>
      </c>
      <c r="BN18" s="44">
        <v>0</v>
      </c>
      <c r="BO18" s="45">
        <v>0</v>
      </c>
      <c r="BP18" s="44">
        <v>26</v>
      </c>
      <c r="BQ18" s="45">
        <v>72.22222222222223</v>
      </c>
      <c r="BR18" s="44">
        <v>36</v>
      </c>
      <c r="BS18">
        <v>1</v>
      </c>
      <c r="BT18" s="112" t="str">
        <f>REPLACE(INDEX(GroupVertices[Group],MATCH("~"&amp;Edges37[[#This Row],[Vertex 1]],GroupVertices[Vertex],0)),1,1,"")</f>
        <v>12</v>
      </c>
      <c r="BU18" s="112" t="str">
        <f>REPLACE(INDEX(GroupVertices[Group],MATCH("~"&amp;Edges37[[#This Row],[Vertex 2]],GroupVertices[Vertex],0)),1,1,"")</f>
        <v>12</v>
      </c>
    </row>
    <row r="19" spans="1:73" ht="15">
      <c r="A19" s="59" t="s">
        <v>230</v>
      </c>
      <c r="B19" s="59" t="s">
        <v>288</v>
      </c>
      <c r="C19" s="60"/>
      <c r="D19" s="61"/>
      <c r="E19" s="62"/>
      <c r="F19" s="63"/>
      <c r="G19" s="60"/>
      <c r="H19" s="64"/>
      <c r="I19" s="65"/>
      <c r="J19" s="65"/>
      <c r="K19" s="30" t="s">
        <v>65</v>
      </c>
      <c r="L19" s="72">
        <v>20</v>
      </c>
      <c r="M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 s="67"/>
      <c r="O19" t="s">
        <v>482</v>
      </c>
      <c r="P19" s="73">
        <v>44915.81348379629</v>
      </c>
      <c r="Q19" t="s">
        <v>501</v>
      </c>
      <c r="R19">
        <v>0</v>
      </c>
      <c r="S19">
        <v>0</v>
      </c>
      <c r="T19">
        <v>0</v>
      </c>
      <c r="U19">
        <v>0</v>
      </c>
      <c r="V19">
        <v>8</v>
      </c>
      <c r="Z19" t="s">
        <v>288</v>
      </c>
      <c r="AC19" s="74" t="s">
        <v>787</v>
      </c>
      <c r="AD19" t="s">
        <v>794</v>
      </c>
      <c r="AE19" s="75" t="str">
        <f>HYPERLINK("https://twitter.com/ahmadga18785105/status/1605284758900342784")</f>
        <v>https://twitter.com/ahmadga18785105/status/1605284758900342784</v>
      </c>
      <c r="AF19" s="73">
        <v>44915.81348379629</v>
      </c>
      <c r="AG19" s="77">
        <v>44915</v>
      </c>
      <c r="AH19" s="74" t="s">
        <v>815</v>
      </c>
      <c r="AV19" s="75" t="str">
        <f>HYPERLINK("https://pbs.twimg.com/profile_images/1535821403328741376/-JZH9ind_normal.png")</f>
        <v>https://pbs.twimg.com/profile_images/1535821403328741376/-JZH9ind_normal.png</v>
      </c>
      <c r="AW19" s="74" t="s">
        <v>1036</v>
      </c>
      <c r="AX19" s="74" t="s">
        <v>1238</v>
      </c>
      <c r="AY19" s="74" t="s">
        <v>1323</v>
      </c>
      <c r="AZ19" s="74" t="s">
        <v>1238</v>
      </c>
      <c r="BA19" s="74" t="s">
        <v>1384</v>
      </c>
      <c r="BB19" s="74" t="s">
        <v>1384</v>
      </c>
      <c r="BC19" s="74" t="s">
        <v>1238</v>
      </c>
      <c r="BD19" s="74" t="s">
        <v>1407</v>
      </c>
      <c r="BJ19" s="44">
        <v>8</v>
      </c>
      <c r="BK19" s="45">
        <v>30.76923076923077</v>
      </c>
      <c r="BL19" s="44">
        <v>5</v>
      </c>
      <c r="BM19" s="45">
        <v>19.23076923076923</v>
      </c>
      <c r="BN19" s="44">
        <v>0</v>
      </c>
      <c r="BO19" s="45">
        <v>0</v>
      </c>
      <c r="BP19" s="44">
        <v>13</v>
      </c>
      <c r="BQ19" s="45">
        <v>50</v>
      </c>
      <c r="BR19" s="44">
        <v>26</v>
      </c>
      <c r="BS19">
        <v>1</v>
      </c>
      <c r="BT19" s="112" t="str">
        <f>REPLACE(INDEX(GroupVertices[Group],MATCH("~"&amp;Edges37[[#This Row],[Vertex 1]],GroupVertices[Vertex],0)),1,1,"")</f>
        <v>12</v>
      </c>
      <c r="BU19" s="112" t="str">
        <f>REPLACE(INDEX(GroupVertices[Group],MATCH("~"&amp;Edges37[[#This Row],[Vertex 2]],GroupVertices[Vertex],0)),1,1,"")</f>
        <v>12</v>
      </c>
    </row>
    <row r="20" spans="1:73" ht="15">
      <c r="A20" s="59" t="s">
        <v>230</v>
      </c>
      <c r="B20" s="59" t="s">
        <v>339</v>
      </c>
      <c r="C20" s="60"/>
      <c r="D20" s="61"/>
      <c r="E20" s="62"/>
      <c r="F20" s="63"/>
      <c r="G20" s="60"/>
      <c r="H20" s="64"/>
      <c r="I20" s="65"/>
      <c r="J20" s="65"/>
      <c r="K20" s="30" t="s">
        <v>65</v>
      </c>
      <c r="L20" s="72">
        <v>21</v>
      </c>
      <c r="M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0" s="67"/>
      <c r="O20" t="s">
        <v>482</v>
      </c>
      <c r="P20" s="73">
        <v>44918.82469907407</v>
      </c>
      <c r="Q20" t="s">
        <v>502</v>
      </c>
      <c r="R20">
        <v>0</v>
      </c>
      <c r="S20">
        <v>0</v>
      </c>
      <c r="T20">
        <v>0</v>
      </c>
      <c r="U20">
        <v>0</v>
      </c>
      <c r="V20">
        <v>10</v>
      </c>
      <c r="Z20" t="s">
        <v>339</v>
      </c>
      <c r="AC20" s="74" t="s">
        <v>787</v>
      </c>
      <c r="AD20" t="s">
        <v>794</v>
      </c>
      <c r="AE20" s="75" t="str">
        <f>HYPERLINK("https://twitter.com/ahmadga18785105/status/1606375983422242816")</f>
        <v>https://twitter.com/ahmadga18785105/status/1606375983422242816</v>
      </c>
      <c r="AF20" s="73">
        <v>44918.82469907407</v>
      </c>
      <c r="AG20" s="77">
        <v>44918</v>
      </c>
      <c r="AH20" s="74" t="s">
        <v>816</v>
      </c>
      <c r="AV20" s="75" t="str">
        <f>HYPERLINK("https://pbs.twimg.com/profile_images/1535821403328741376/-JZH9ind_normal.png")</f>
        <v>https://pbs.twimg.com/profile_images/1535821403328741376/-JZH9ind_normal.png</v>
      </c>
      <c r="AW20" s="74" t="s">
        <v>1037</v>
      </c>
      <c r="AX20" s="74" t="s">
        <v>1239</v>
      </c>
      <c r="AY20" s="74" t="s">
        <v>1324</v>
      </c>
      <c r="AZ20" s="74" t="s">
        <v>1239</v>
      </c>
      <c r="BA20" s="74" t="s">
        <v>1384</v>
      </c>
      <c r="BB20" s="74" t="s">
        <v>1384</v>
      </c>
      <c r="BC20" s="74" t="s">
        <v>1239</v>
      </c>
      <c r="BD20" s="74" t="s">
        <v>1407</v>
      </c>
      <c r="BJ20" s="44">
        <v>6</v>
      </c>
      <c r="BK20" s="45">
        <v>60</v>
      </c>
      <c r="BL20" s="44">
        <v>0</v>
      </c>
      <c r="BM20" s="45">
        <v>0</v>
      </c>
      <c r="BN20" s="44">
        <v>0</v>
      </c>
      <c r="BO20" s="45">
        <v>0</v>
      </c>
      <c r="BP20" s="44">
        <v>4</v>
      </c>
      <c r="BQ20" s="45">
        <v>40</v>
      </c>
      <c r="BR20" s="44">
        <v>10</v>
      </c>
      <c r="BS20">
        <v>8</v>
      </c>
      <c r="BT20" s="112" t="str">
        <f>REPLACE(INDEX(GroupVertices[Group],MATCH("~"&amp;Edges37[[#This Row],[Vertex 1]],GroupVertices[Vertex],0)),1,1,"")</f>
        <v>12</v>
      </c>
      <c r="BU20" s="112" t="str">
        <f>REPLACE(INDEX(GroupVertices[Group],MATCH("~"&amp;Edges37[[#This Row],[Vertex 2]],GroupVertices[Vertex],0)),1,1,"")</f>
        <v>12</v>
      </c>
    </row>
    <row r="21" spans="1:73" ht="15">
      <c r="A21" s="59" t="s">
        <v>230</v>
      </c>
      <c r="B21" s="59" t="s">
        <v>333</v>
      </c>
      <c r="C21" s="60"/>
      <c r="D21" s="61"/>
      <c r="E21" s="62"/>
      <c r="F21" s="63"/>
      <c r="G21" s="60"/>
      <c r="H21" s="64"/>
      <c r="I21" s="65"/>
      <c r="J21" s="65"/>
      <c r="K21" s="30" t="s">
        <v>65</v>
      </c>
      <c r="L21" s="72">
        <v>22</v>
      </c>
      <c r="M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1" s="67"/>
      <c r="O21" t="s">
        <v>482</v>
      </c>
      <c r="P21" s="73">
        <v>44921.87310185185</v>
      </c>
      <c r="Q21" t="s">
        <v>503</v>
      </c>
      <c r="R21">
        <v>0</v>
      </c>
      <c r="S21">
        <v>0</v>
      </c>
      <c r="T21">
        <v>0</v>
      </c>
      <c r="U21">
        <v>0</v>
      </c>
      <c r="V21">
        <v>15</v>
      </c>
      <c r="Z21" t="s">
        <v>333</v>
      </c>
      <c r="AC21" s="74" t="s">
        <v>787</v>
      </c>
      <c r="AD21" t="s">
        <v>794</v>
      </c>
      <c r="AE21" s="75" t="str">
        <f>HYPERLINK("https://twitter.com/ahmadga18785105/status/1607480690165313536")</f>
        <v>https://twitter.com/ahmadga18785105/status/1607480690165313536</v>
      </c>
      <c r="AF21" s="73">
        <v>44921.87310185185</v>
      </c>
      <c r="AG21" s="77">
        <v>44921</v>
      </c>
      <c r="AH21" s="74" t="s">
        <v>817</v>
      </c>
      <c r="AV21" s="75" t="str">
        <f>HYPERLINK("https://pbs.twimg.com/profile_images/1535821403328741376/-JZH9ind_normal.png")</f>
        <v>https://pbs.twimg.com/profile_images/1535821403328741376/-JZH9ind_normal.png</v>
      </c>
      <c r="AW21" s="74" t="s">
        <v>1038</v>
      </c>
      <c r="AX21" s="74" t="s">
        <v>1240</v>
      </c>
      <c r="AY21" s="74" t="s">
        <v>1325</v>
      </c>
      <c r="AZ21" s="74" t="s">
        <v>1240</v>
      </c>
      <c r="BA21" s="74" t="s">
        <v>1384</v>
      </c>
      <c r="BB21" s="74" t="s">
        <v>1384</v>
      </c>
      <c r="BC21" s="74" t="s">
        <v>1240</v>
      </c>
      <c r="BD21" s="74" t="s">
        <v>1407</v>
      </c>
      <c r="BJ21" s="44">
        <v>7</v>
      </c>
      <c r="BK21" s="45">
        <v>29.166666666666668</v>
      </c>
      <c r="BL21" s="44">
        <v>3</v>
      </c>
      <c r="BM21" s="45">
        <v>12.5</v>
      </c>
      <c r="BN21" s="44">
        <v>0</v>
      </c>
      <c r="BO21" s="45">
        <v>0</v>
      </c>
      <c r="BP21" s="44">
        <v>14</v>
      </c>
      <c r="BQ21" s="45">
        <v>58.333333333333336</v>
      </c>
      <c r="BR21" s="44">
        <v>24</v>
      </c>
      <c r="BS21">
        <v>1</v>
      </c>
      <c r="BT21" s="112" t="str">
        <f>REPLACE(INDEX(GroupVertices[Group],MATCH("~"&amp;Edges37[[#This Row],[Vertex 1]],GroupVertices[Vertex],0)),1,1,"")</f>
        <v>12</v>
      </c>
      <c r="BU21" s="112" t="str">
        <f>REPLACE(INDEX(GroupVertices[Group],MATCH("~"&amp;Edges37[[#This Row],[Vertex 2]],GroupVertices[Vertex],0)),1,1,"")</f>
        <v>12</v>
      </c>
    </row>
    <row r="22" spans="1:73" ht="15">
      <c r="A22" s="59" t="s">
        <v>231</v>
      </c>
      <c r="B22" s="59" t="s">
        <v>231</v>
      </c>
      <c r="C22" s="60"/>
      <c r="D22" s="61"/>
      <c r="E22" s="62"/>
      <c r="F22" s="63"/>
      <c r="G22" s="60"/>
      <c r="H22" s="64"/>
      <c r="I22" s="65"/>
      <c r="J22" s="65"/>
      <c r="K22" s="30" t="s">
        <v>65</v>
      </c>
      <c r="L22" s="72">
        <v>23</v>
      </c>
      <c r="M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2" s="67"/>
      <c r="O22" t="s">
        <v>177</v>
      </c>
      <c r="P22" s="73">
        <v>44779.72949074074</v>
      </c>
      <c r="Q22" t="s">
        <v>504</v>
      </c>
      <c r="R22">
        <v>0</v>
      </c>
      <c r="S22">
        <v>0</v>
      </c>
      <c r="T22">
        <v>0</v>
      </c>
      <c r="U22">
        <v>0</v>
      </c>
      <c r="AC22" s="74" t="s">
        <v>788</v>
      </c>
      <c r="AD22" t="s">
        <v>794</v>
      </c>
      <c r="AE22" s="75" t="str">
        <f>HYPERLINK("https://twitter.com/bve_kairi/status/1555969567276601346")</f>
        <v>https://twitter.com/bve_kairi/status/1555969567276601346</v>
      </c>
      <c r="AF22" s="73">
        <v>44779.72949074074</v>
      </c>
      <c r="AG22" s="77">
        <v>44779</v>
      </c>
      <c r="AH22" s="74" t="s">
        <v>818</v>
      </c>
      <c r="AV22" s="75" t="str">
        <f>HYPERLINK("https://pbs.twimg.com/profile_images/1530390158822232064/IEoHz1fi_normal.jpg")</f>
        <v>https://pbs.twimg.com/profile_images/1530390158822232064/IEoHz1fi_normal.jpg</v>
      </c>
      <c r="AW22" s="74" t="s">
        <v>1039</v>
      </c>
      <c r="AX22" s="74" t="s">
        <v>1039</v>
      </c>
      <c r="AZ22" s="74" t="s">
        <v>1384</v>
      </c>
      <c r="BA22" s="74" t="s">
        <v>1384</v>
      </c>
      <c r="BB22" s="74" t="s">
        <v>1384</v>
      </c>
      <c r="BC22" s="74" t="s">
        <v>1039</v>
      </c>
      <c r="BD22" s="74" t="s">
        <v>1408</v>
      </c>
      <c r="BJ22" s="44">
        <v>3</v>
      </c>
      <c r="BK22" s="45">
        <v>75</v>
      </c>
      <c r="BL22" s="44">
        <v>0</v>
      </c>
      <c r="BM22" s="45">
        <v>0</v>
      </c>
      <c r="BN22" s="44">
        <v>0</v>
      </c>
      <c r="BO22" s="45">
        <v>0</v>
      </c>
      <c r="BP22" s="44">
        <v>1</v>
      </c>
      <c r="BQ22" s="45">
        <v>25</v>
      </c>
      <c r="BR22" s="44">
        <v>4</v>
      </c>
      <c r="BS22">
        <v>1</v>
      </c>
      <c r="BT22" s="112" t="str">
        <f>REPLACE(INDEX(GroupVertices[Group],MATCH("~"&amp;Edges37[[#This Row],[Vertex 1]],GroupVertices[Vertex],0)),1,1,"")</f>
        <v>3</v>
      </c>
      <c r="BU22" s="112" t="str">
        <f>REPLACE(INDEX(GroupVertices[Group],MATCH("~"&amp;Edges37[[#This Row],[Vertex 2]],GroupVertices[Vertex],0)),1,1,"")</f>
        <v>3</v>
      </c>
    </row>
    <row r="23" spans="1:73" ht="15">
      <c r="A23" s="59" t="s">
        <v>232</v>
      </c>
      <c r="B23" s="59" t="s">
        <v>232</v>
      </c>
      <c r="C23" s="60"/>
      <c r="D23" s="61"/>
      <c r="E23" s="62"/>
      <c r="F23" s="63"/>
      <c r="G23" s="60"/>
      <c r="H23" s="64"/>
      <c r="I23" s="65"/>
      <c r="J23" s="65"/>
      <c r="K23" s="30" t="s">
        <v>65</v>
      </c>
      <c r="L23" s="72">
        <v>24</v>
      </c>
      <c r="M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3" s="67"/>
      <c r="O23" t="s">
        <v>177</v>
      </c>
      <c r="P23" s="73">
        <v>44894.02885416667</v>
      </c>
      <c r="Q23" t="s">
        <v>505</v>
      </c>
      <c r="R23">
        <v>0</v>
      </c>
      <c r="S23">
        <v>0</v>
      </c>
      <c r="T23">
        <v>0</v>
      </c>
      <c r="U23">
        <v>0</v>
      </c>
      <c r="X23" s="75" t="str">
        <f>HYPERLINK("http://dlvr.it/SdWj9q")</f>
        <v>http://dlvr.it/SdWj9q</v>
      </c>
      <c r="Y23" t="s">
        <v>710</v>
      </c>
      <c r="AC23" s="74" t="s">
        <v>710</v>
      </c>
      <c r="AD23" t="s">
        <v>794</v>
      </c>
      <c r="AE23" s="75" t="str">
        <f>HYPERLINK("https://twitter.com/rustrijateng/status/1597390272089948160")</f>
        <v>https://twitter.com/rustrijateng/status/1597390272089948160</v>
      </c>
      <c r="AF23" s="73">
        <v>44894.02885416667</v>
      </c>
      <c r="AG23" s="77">
        <v>44894</v>
      </c>
      <c r="AH23" s="74" t="s">
        <v>819</v>
      </c>
      <c r="AI23" t="b">
        <v>0</v>
      </c>
      <c r="AV23" s="75" t="str">
        <f>HYPERLINK("https://pbs.twimg.com/profile_images/428988226846457856/B0fdn-5S_normal.jpeg")</f>
        <v>https://pbs.twimg.com/profile_images/428988226846457856/B0fdn-5S_normal.jpeg</v>
      </c>
      <c r="AW23" s="74" t="s">
        <v>1040</v>
      </c>
      <c r="AX23" s="74" t="s">
        <v>1040</v>
      </c>
      <c r="AZ23" s="74" t="s">
        <v>1384</v>
      </c>
      <c r="BA23" s="74" t="s">
        <v>1384</v>
      </c>
      <c r="BB23" s="74" t="s">
        <v>1384</v>
      </c>
      <c r="BC23" s="74" t="s">
        <v>1040</v>
      </c>
      <c r="BD23">
        <v>577255692</v>
      </c>
      <c r="BJ23" s="44">
        <v>3</v>
      </c>
      <c r="BK23" s="45">
        <v>25</v>
      </c>
      <c r="BL23" s="44">
        <v>0</v>
      </c>
      <c r="BM23" s="45">
        <v>0</v>
      </c>
      <c r="BN23" s="44">
        <v>0</v>
      </c>
      <c r="BO23" s="45">
        <v>0</v>
      </c>
      <c r="BP23" s="44">
        <v>9</v>
      </c>
      <c r="BQ23" s="45">
        <v>75</v>
      </c>
      <c r="BR23" s="44">
        <v>12</v>
      </c>
      <c r="BS23">
        <v>1</v>
      </c>
      <c r="BT23" s="112" t="str">
        <f>REPLACE(INDEX(GroupVertices[Group],MATCH("~"&amp;Edges37[[#This Row],[Vertex 1]],GroupVertices[Vertex],0)),1,1,"")</f>
        <v>3</v>
      </c>
      <c r="BU23" s="112" t="str">
        <f>REPLACE(INDEX(GroupVertices[Group],MATCH("~"&amp;Edges37[[#This Row],[Vertex 2]],GroupVertices[Vertex],0)),1,1,"")</f>
        <v>3</v>
      </c>
    </row>
    <row r="24" spans="1:73" ht="15">
      <c r="A24" s="59" t="s">
        <v>233</v>
      </c>
      <c r="B24" s="59" t="s">
        <v>271</v>
      </c>
      <c r="C24" s="60"/>
      <c r="D24" s="61"/>
      <c r="E24" s="62"/>
      <c r="F24" s="63"/>
      <c r="G24" s="60"/>
      <c r="H24" s="64"/>
      <c r="I24" s="65"/>
      <c r="J24" s="65"/>
      <c r="K24" s="30" t="s">
        <v>65</v>
      </c>
      <c r="L24" s="72">
        <v>25</v>
      </c>
      <c r="M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4" s="67"/>
      <c r="O24" t="s">
        <v>482</v>
      </c>
      <c r="P24" s="73">
        <v>44577.076840277776</v>
      </c>
      <c r="Q24" t="s">
        <v>506</v>
      </c>
      <c r="R24">
        <v>1</v>
      </c>
      <c r="S24">
        <v>1</v>
      </c>
      <c r="T24">
        <v>0</v>
      </c>
      <c r="U24">
        <v>0</v>
      </c>
      <c r="W24" s="74" t="s">
        <v>683</v>
      </c>
      <c r="Z24" t="s">
        <v>271</v>
      </c>
      <c r="AC24" s="74" t="s">
        <v>787</v>
      </c>
      <c r="AD24" t="s">
        <v>794</v>
      </c>
      <c r="AE24" s="75" t="str">
        <f>HYPERLINK("https://twitter.com/elzusmar3/status/1482530705804771328")</f>
        <v>https://twitter.com/elzusmar3/status/1482530705804771328</v>
      </c>
      <c r="AF24" s="73">
        <v>44577.076840277776</v>
      </c>
      <c r="AG24" s="77">
        <v>44577</v>
      </c>
      <c r="AH24" s="74" t="s">
        <v>820</v>
      </c>
      <c r="AV24" s="75" t="str">
        <f>HYPERLINK("https://pbs.twimg.com/profile_images/1522229080187301888/2PJxLPXc_normal.jpg")</f>
        <v>https://pbs.twimg.com/profile_images/1522229080187301888/2PJxLPXc_normal.jpg</v>
      </c>
      <c r="AW24" s="74" t="s">
        <v>1041</v>
      </c>
      <c r="AX24" s="74" t="s">
        <v>1105</v>
      </c>
      <c r="AY24" s="74" t="s">
        <v>1326</v>
      </c>
      <c r="AZ24" s="74" t="s">
        <v>1105</v>
      </c>
      <c r="BA24" s="74" t="s">
        <v>1384</v>
      </c>
      <c r="BB24" s="74" t="s">
        <v>1384</v>
      </c>
      <c r="BC24" s="74" t="s">
        <v>1105</v>
      </c>
      <c r="BD24" s="74" t="s">
        <v>1409</v>
      </c>
      <c r="BJ24" s="44">
        <v>4</v>
      </c>
      <c r="BK24" s="45">
        <v>40</v>
      </c>
      <c r="BL24" s="44">
        <v>1</v>
      </c>
      <c r="BM24" s="45">
        <v>10</v>
      </c>
      <c r="BN24" s="44">
        <v>0</v>
      </c>
      <c r="BO24" s="45">
        <v>0</v>
      </c>
      <c r="BP24" s="44">
        <v>5</v>
      </c>
      <c r="BQ24" s="45">
        <v>50</v>
      </c>
      <c r="BR24" s="44">
        <v>10</v>
      </c>
      <c r="BS24">
        <v>1</v>
      </c>
      <c r="BT24" s="112" t="str">
        <f>REPLACE(INDEX(GroupVertices[Group],MATCH("~"&amp;Edges37[[#This Row],[Vertex 1]],GroupVertices[Vertex],0)),1,1,"")</f>
        <v>39</v>
      </c>
      <c r="BU24" s="112" t="str">
        <f>REPLACE(INDEX(GroupVertices[Group],MATCH("~"&amp;Edges37[[#This Row],[Vertex 2]],GroupVertices[Vertex],0)),1,1,"")</f>
        <v>39</v>
      </c>
    </row>
    <row r="25" spans="1:73" ht="15">
      <c r="A25" s="59" t="s">
        <v>234</v>
      </c>
      <c r="B25" s="59" t="s">
        <v>353</v>
      </c>
      <c r="C25" s="60"/>
      <c r="D25" s="61"/>
      <c r="E25" s="62"/>
      <c r="F25" s="63"/>
      <c r="G25" s="60"/>
      <c r="H25" s="64"/>
      <c r="I25" s="65"/>
      <c r="J25" s="65"/>
      <c r="K25" s="30" t="s">
        <v>65</v>
      </c>
      <c r="L25" s="72">
        <v>26</v>
      </c>
      <c r="M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5" s="67"/>
      <c r="O25" t="s">
        <v>483</v>
      </c>
      <c r="P25" s="73">
        <v>44558.62626157407</v>
      </c>
      <c r="Q25" t="s">
        <v>507</v>
      </c>
      <c r="R25">
        <v>0</v>
      </c>
      <c r="S25">
        <v>0</v>
      </c>
      <c r="T25">
        <v>0</v>
      </c>
      <c r="U25">
        <v>0</v>
      </c>
      <c r="Z25" t="s">
        <v>728</v>
      </c>
      <c r="AC25" s="74" t="s">
        <v>787</v>
      </c>
      <c r="AD25" t="s">
        <v>794</v>
      </c>
      <c r="AE25" s="75" t="str">
        <f>HYPERLINK("https://twitter.com/dlarsono/status/1475844442636505088")</f>
        <v>https://twitter.com/dlarsono/status/1475844442636505088</v>
      </c>
      <c r="AF25" s="73">
        <v>44558.62626157407</v>
      </c>
      <c r="AG25" s="77">
        <v>44558</v>
      </c>
      <c r="AH25" s="74" t="s">
        <v>821</v>
      </c>
      <c r="AV25" s="75" t="str">
        <f>HYPERLINK("https://pbs.twimg.com/profile_images/1419567238357475331/groIw0Db_normal.jpg")</f>
        <v>https://pbs.twimg.com/profile_images/1419567238357475331/groIw0Db_normal.jpg</v>
      </c>
      <c r="AW25" s="74" t="s">
        <v>1042</v>
      </c>
      <c r="AX25" s="74" t="s">
        <v>1241</v>
      </c>
      <c r="AY25" s="74" t="s">
        <v>1327</v>
      </c>
      <c r="AZ25" s="74" t="s">
        <v>1241</v>
      </c>
      <c r="BA25" s="74" t="s">
        <v>1384</v>
      </c>
      <c r="BB25" s="74" t="s">
        <v>1384</v>
      </c>
      <c r="BC25" s="74" t="s">
        <v>1241</v>
      </c>
      <c r="BD25" s="74" t="s">
        <v>1410</v>
      </c>
      <c r="BJ25" s="44">
        <v>3</v>
      </c>
      <c r="BK25" s="45">
        <v>23.076923076923077</v>
      </c>
      <c r="BL25" s="44">
        <v>0</v>
      </c>
      <c r="BM25" s="45">
        <v>0</v>
      </c>
      <c r="BN25" s="44">
        <v>0</v>
      </c>
      <c r="BO25" s="45">
        <v>0</v>
      </c>
      <c r="BP25" s="44">
        <v>9</v>
      </c>
      <c r="BQ25" s="45">
        <v>69.23076923076923</v>
      </c>
      <c r="BR25" s="44">
        <v>13</v>
      </c>
      <c r="BS25">
        <v>1</v>
      </c>
      <c r="BT25" s="112" t="str">
        <f>REPLACE(INDEX(GroupVertices[Group],MATCH("~"&amp;Edges37[[#This Row],[Vertex 1]],GroupVertices[Vertex],0)),1,1,"")</f>
        <v>4</v>
      </c>
      <c r="BU25" s="112" t="str">
        <f>REPLACE(INDEX(GroupVertices[Group],MATCH("~"&amp;Edges37[[#This Row],[Vertex 2]],GroupVertices[Vertex],0)),1,1,"")</f>
        <v>4</v>
      </c>
    </row>
    <row r="26" spans="1:73" ht="15">
      <c r="A26" s="59" t="s">
        <v>234</v>
      </c>
      <c r="B26" s="59" t="s">
        <v>234</v>
      </c>
      <c r="C26" s="60"/>
      <c r="D26" s="61"/>
      <c r="E26" s="62"/>
      <c r="F26" s="63"/>
      <c r="G26" s="60"/>
      <c r="H26" s="64"/>
      <c r="I26" s="65"/>
      <c r="J26" s="65"/>
      <c r="K26" s="30" t="s">
        <v>65</v>
      </c>
      <c r="L26" s="72">
        <v>28</v>
      </c>
      <c r="M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6" s="67"/>
      <c r="O26" t="s">
        <v>177</v>
      </c>
      <c r="P26" s="73">
        <v>44558.62480324074</v>
      </c>
      <c r="Q26" t="s">
        <v>508</v>
      </c>
      <c r="R26">
        <v>0</v>
      </c>
      <c r="S26">
        <v>0</v>
      </c>
      <c r="T26">
        <v>0</v>
      </c>
      <c r="U26">
        <v>0</v>
      </c>
      <c r="AC26" s="74" t="s">
        <v>787</v>
      </c>
      <c r="AD26" t="s">
        <v>794</v>
      </c>
      <c r="AE26" s="75" t="str">
        <f>HYPERLINK("https://twitter.com/dlarsono/status/1475843914422648837")</f>
        <v>https://twitter.com/dlarsono/status/1475843914422648837</v>
      </c>
      <c r="AF26" s="73">
        <v>44558.62480324074</v>
      </c>
      <c r="AG26" s="77">
        <v>44558</v>
      </c>
      <c r="AH26" s="74" t="s">
        <v>822</v>
      </c>
      <c r="AV26" s="75" t="str">
        <f>HYPERLINK("https://pbs.twimg.com/profile_images/1419567238357475331/groIw0Db_normal.jpg")</f>
        <v>https://pbs.twimg.com/profile_images/1419567238357475331/groIw0Db_normal.jpg</v>
      </c>
      <c r="AW26" s="74" t="s">
        <v>1043</v>
      </c>
      <c r="AX26" s="74" t="s">
        <v>1043</v>
      </c>
      <c r="AZ26" s="74" t="s">
        <v>1384</v>
      </c>
      <c r="BA26" s="74" t="s">
        <v>1384</v>
      </c>
      <c r="BB26" s="74" t="s">
        <v>1384</v>
      </c>
      <c r="BC26" s="74" t="s">
        <v>1043</v>
      </c>
      <c r="BD26" s="74" t="s">
        <v>1410</v>
      </c>
      <c r="BJ26" s="44">
        <v>4</v>
      </c>
      <c r="BK26" s="45">
        <v>50</v>
      </c>
      <c r="BL26" s="44">
        <v>0</v>
      </c>
      <c r="BM26" s="45">
        <v>0</v>
      </c>
      <c r="BN26" s="44">
        <v>0</v>
      </c>
      <c r="BO26" s="45">
        <v>0</v>
      </c>
      <c r="BP26" s="44">
        <v>4</v>
      </c>
      <c r="BQ26" s="45">
        <v>50</v>
      </c>
      <c r="BR26" s="44">
        <v>8</v>
      </c>
      <c r="BS26">
        <v>1</v>
      </c>
      <c r="BT26" s="112" t="str">
        <f>REPLACE(INDEX(GroupVertices[Group],MATCH("~"&amp;Edges37[[#This Row],[Vertex 1]],GroupVertices[Vertex],0)),1,1,"")</f>
        <v>4</v>
      </c>
      <c r="BU26" s="112" t="str">
        <f>REPLACE(INDEX(GroupVertices[Group],MATCH("~"&amp;Edges37[[#This Row],[Vertex 2]],GroupVertices[Vertex],0)),1,1,"")</f>
        <v>4</v>
      </c>
    </row>
    <row r="27" spans="1:73" ht="15">
      <c r="A27" s="59" t="s">
        <v>235</v>
      </c>
      <c r="B27" s="59" t="s">
        <v>341</v>
      </c>
      <c r="C27" s="60"/>
      <c r="D27" s="61"/>
      <c r="E27" s="62"/>
      <c r="F27" s="63"/>
      <c r="G27" s="60"/>
      <c r="H27" s="64"/>
      <c r="I27" s="65"/>
      <c r="J27" s="65"/>
      <c r="K27" s="30" t="s">
        <v>65</v>
      </c>
      <c r="L27" s="72">
        <v>29</v>
      </c>
      <c r="M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27" s="67"/>
      <c r="O27" t="s">
        <v>482</v>
      </c>
      <c r="P27" s="73">
        <v>44572.50814814815</v>
      </c>
      <c r="Q27" t="s">
        <v>509</v>
      </c>
      <c r="R27">
        <v>1</v>
      </c>
      <c r="S27">
        <v>1</v>
      </c>
      <c r="T27">
        <v>1</v>
      </c>
      <c r="U27">
        <v>0</v>
      </c>
      <c r="W27" s="74" t="s">
        <v>684</v>
      </c>
      <c r="Z27" t="s">
        <v>341</v>
      </c>
      <c r="AC27" s="74" t="s">
        <v>787</v>
      </c>
      <c r="AD27" t="s">
        <v>794</v>
      </c>
      <c r="AE27" s="75" t="str">
        <f>HYPERLINK("https://twitter.com/zephmiss/status/1480875070923079685")</f>
        <v>https://twitter.com/zephmiss/status/1480875070923079685</v>
      </c>
      <c r="AF27" s="73">
        <v>44572.50814814815</v>
      </c>
      <c r="AG27" s="77">
        <v>44572</v>
      </c>
      <c r="AH27" s="74" t="s">
        <v>823</v>
      </c>
      <c r="AV27" s="75" t="str">
        <f>HYPERLINK("https://pbs.twimg.com/profile_images/1577051339690950656/afYmBGZ8_normal.jpg")</f>
        <v>https://pbs.twimg.com/profile_images/1577051339690950656/afYmBGZ8_normal.jpg</v>
      </c>
      <c r="AW27" s="74" t="s">
        <v>1044</v>
      </c>
      <c r="AX27" s="74" t="s">
        <v>1242</v>
      </c>
      <c r="AY27" s="74" t="s">
        <v>1328</v>
      </c>
      <c r="AZ27" s="74" t="s">
        <v>1242</v>
      </c>
      <c r="BA27" s="74" t="s">
        <v>1384</v>
      </c>
      <c r="BB27" s="74" t="s">
        <v>1384</v>
      </c>
      <c r="BC27" s="74" t="s">
        <v>1242</v>
      </c>
      <c r="BD27" s="74" t="s">
        <v>1411</v>
      </c>
      <c r="BJ27" s="44">
        <v>0</v>
      </c>
      <c r="BK27" s="45">
        <v>0</v>
      </c>
      <c r="BL27" s="44">
        <v>0</v>
      </c>
      <c r="BM27" s="45">
        <v>0</v>
      </c>
      <c r="BN27" s="44">
        <v>0</v>
      </c>
      <c r="BO27" s="45">
        <v>0</v>
      </c>
      <c r="BP27" s="44">
        <v>23</v>
      </c>
      <c r="BQ27" s="45">
        <v>100</v>
      </c>
      <c r="BR27" s="44">
        <v>23</v>
      </c>
      <c r="BS27">
        <v>1</v>
      </c>
      <c r="BT27" s="112" t="str">
        <f>REPLACE(INDEX(GroupVertices[Group],MATCH("~"&amp;Edges37[[#This Row],[Vertex 1]],GroupVertices[Vertex],0)),1,1,"")</f>
        <v>6</v>
      </c>
      <c r="BU27" s="112" t="str">
        <f>REPLACE(INDEX(GroupVertices[Group],MATCH("~"&amp;Edges37[[#This Row],[Vertex 2]],GroupVertices[Vertex],0)),1,1,"")</f>
        <v>6</v>
      </c>
    </row>
    <row r="28" spans="1:73" ht="15">
      <c r="A28" s="59" t="s">
        <v>236</v>
      </c>
      <c r="B28" s="59" t="s">
        <v>318</v>
      </c>
      <c r="C28" s="60"/>
      <c r="D28" s="61"/>
      <c r="E28" s="62"/>
      <c r="F28" s="63"/>
      <c r="G28" s="60"/>
      <c r="H28" s="64"/>
      <c r="I28" s="65"/>
      <c r="J28" s="65"/>
      <c r="K28" s="30" t="s">
        <v>65</v>
      </c>
      <c r="L28" s="72">
        <v>30</v>
      </c>
      <c r="M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8" s="67"/>
      <c r="O28" t="s">
        <v>483</v>
      </c>
      <c r="P28" s="73">
        <v>44729.589270833334</v>
      </c>
      <c r="Q28" t="s">
        <v>510</v>
      </c>
      <c r="R28">
        <v>0</v>
      </c>
      <c r="S28">
        <v>0</v>
      </c>
      <c r="T28">
        <v>0</v>
      </c>
      <c r="U28">
        <v>0</v>
      </c>
      <c r="Z28" t="s">
        <v>729</v>
      </c>
      <c r="AC28" s="74" t="s">
        <v>787</v>
      </c>
      <c r="AD28" t="s">
        <v>794</v>
      </c>
      <c r="AE28" s="75" t="str">
        <f>HYPERLINK("https://twitter.com/yeni_ekawati/status/1537799362884952064")</f>
        <v>https://twitter.com/yeni_ekawati/status/1537799362884952064</v>
      </c>
      <c r="AF28" s="73">
        <v>44729.589270833334</v>
      </c>
      <c r="AG28" s="77">
        <v>44729</v>
      </c>
      <c r="AH28" s="74" t="s">
        <v>824</v>
      </c>
      <c r="AV28" s="75" t="str">
        <f>HYPERLINK("https://pbs.twimg.com/profile_images/1395768456671240196/ODQkyYlU_normal.jpg")</f>
        <v>https://pbs.twimg.com/profile_images/1395768456671240196/ODQkyYlU_normal.jpg</v>
      </c>
      <c r="AW28" s="74" t="s">
        <v>1045</v>
      </c>
      <c r="AX28" s="74" t="s">
        <v>1243</v>
      </c>
      <c r="AY28" s="74" t="s">
        <v>1329</v>
      </c>
      <c r="AZ28" s="74" t="s">
        <v>1388</v>
      </c>
      <c r="BA28" s="74" t="s">
        <v>1384</v>
      </c>
      <c r="BB28" s="74" t="s">
        <v>1384</v>
      </c>
      <c r="BC28" s="74" t="s">
        <v>1388</v>
      </c>
      <c r="BD28">
        <v>292148810</v>
      </c>
      <c r="BJ28" s="44">
        <v>4</v>
      </c>
      <c r="BK28" s="45">
        <v>36.36363636363637</v>
      </c>
      <c r="BL28" s="44">
        <v>0</v>
      </c>
      <c r="BM28" s="45">
        <v>0</v>
      </c>
      <c r="BN28" s="44">
        <v>0</v>
      </c>
      <c r="BO28" s="45">
        <v>0</v>
      </c>
      <c r="BP28" s="44">
        <v>7</v>
      </c>
      <c r="BQ28" s="45">
        <v>63.63636363636363</v>
      </c>
      <c r="BR28" s="44">
        <v>11</v>
      </c>
      <c r="BS28">
        <v>1</v>
      </c>
      <c r="BT28" s="112" t="str">
        <f>REPLACE(INDEX(GroupVertices[Group],MATCH("~"&amp;Edges37[[#This Row],[Vertex 1]],GroupVertices[Vertex],0)),1,1,"")</f>
        <v>9</v>
      </c>
      <c r="BU28" s="112" t="str">
        <f>REPLACE(INDEX(GroupVertices[Group],MATCH("~"&amp;Edges37[[#This Row],[Vertex 2]],GroupVertices[Vertex],0)),1,1,"")</f>
        <v>9</v>
      </c>
    </row>
    <row r="29" spans="1:73" ht="15">
      <c r="A29" s="59" t="s">
        <v>237</v>
      </c>
      <c r="B29" s="59" t="s">
        <v>354</v>
      </c>
      <c r="C29" s="60"/>
      <c r="D29" s="61"/>
      <c r="E29" s="62"/>
      <c r="F29" s="63"/>
      <c r="G29" s="60"/>
      <c r="H29" s="64"/>
      <c r="I29" s="65"/>
      <c r="J29" s="65"/>
      <c r="K29" s="30" t="s">
        <v>65</v>
      </c>
      <c r="L29" s="72">
        <v>31</v>
      </c>
      <c r="M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9" s="67"/>
      <c r="O29" t="s">
        <v>482</v>
      </c>
      <c r="P29" s="73">
        <v>44720.17099537037</v>
      </c>
      <c r="Q29" t="s">
        <v>511</v>
      </c>
      <c r="R29">
        <v>0</v>
      </c>
      <c r="S29">
        <v>2</v>
      </c>
      <c r="T29">
        <v>1</v>
      </c>
      <c r="U29">
        <v>0</v>
      </c>
      <c r="Z29" t="s">
        <v>354</v>
      </c>
      <c r="AC29" s="74" t="s">
        <v>787</v>
      </c>
      <c r="AD29" t="s">
        <v>794</v>
      </c>
      <c r="AE29" s="75" t="str">
        <f>HYPERLINK("https://twitter.com/y_yoeng/status/1534386293886443520")</f>
        <v>https://twitter.com/y_yoeng/status/1534386293886443520</v>
      </c>
      <c r="AF29" s="73">
        <v>44720.17099537037</v>
      </c>
      <c r="AG29" s="77">
        <v>44720</v>
      </c>
      <c r="AH29" s="74" t="s">
        <v>825</v>
      </c>
      <c r="AV29" s="75" t="str">
        <f>HYPERLINK("https://pbs.twimg.com/profile_images/1526536252509499392/Y-B9JKB2_normal.jpg")</f>
        <v>https://pbs.twimg.com/profile_images/1526536252509499392/Y-B9JKB2_normal.jpg</v>
      </c>
      <c r="AW29" s="74" t="s">
        <v>1046</v>
      </c>
      <c r="AX29" s="74" t="s">
        <v>1244</v>
      </c>
      <c r="AY29" s="74" t="s">
        <v>1330</v>
      </c>
      <c r="AZ29" s="74" t="s">
        <v>1244</v>
      </c>
      <c r="BA29" s="74" t="s">
        <v>1384</v>
      </c>
      <c r="BB29" s="74" t="s">
        <v>1384</v>
      </c>
      <c r="BC29" s="74" t="s">
        <v>1244</v>
      </c>
      <c r="BD29" s="74" t="s">
        <v>1412</v>
      </c>
      <c r="BJ29" s="44">
        <v>3</v>
      </c>
      <c r="BK29" s="45">
        <v>75</v>
      </c>
      <c r="BL29" s="44">
        <v>0</v>
      </c>
      <c r="BM29" s="45">
        <v>0</v>
      </c>
      <c r="BN29" s="44">
        <v>0</v>
      </c>
      <c r="BO29" s="45">
        <v>0</v>
      </c>
      <c r="BP29" s="44">
        <v>1</v>
      </c>
      <c r="BQ29" s="45">
        <v>25</v>
      </c>
      <c r="BR29" s="44">
        <v>4</v>
      </c>
      <c r="BS29">
        <v>1</v>
      </c>
      <c r="BT29" s="112" t="str">
        <f>REPLACE(INDEX(GroupVertices[Group],MATCH("~"&amp;Edges37[[#This Row],[Vertex 1]],GroupVertices[Vertex],0)),1,1,"")</f>
        <v>15</v>
      </c>
      <c r="BU29" s="112" t="str">
        <f>REPLACE(INDEX(GroupVertices[Group],MATCH("~"&amp;Edges37[[#This Row],[Vertex 2]],GroupVertices[Vertex],0)),1,1,"")</f>
        <v>15</v>
      </c>
    </row>
    <row r="30" spans="1:73" ht="15">
      <c r="A30" s="59" t="s">
        <v>238</v>
      </c>
      <c r="B30" s="59" t="s">
        <v>337</v>
      </c>
      <c r="C30" s="60"/>
      <c r="D30" s="61"/>
      <c r="E30" s="62"/>
      <c r="F30" s="63"/>
      <c r="G30" s="60"/>
      <c r="H30" s="64"/>
      <c r="I30" s="65"/>
      <c r="J30" s="65"/>
      <c r="K30" s="30" t="s">
        <v>65</v>
      </c>
      <c r="L30" s="72">
        <v>32</v>
      </c>
      <c r="M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0" s="67"/>
      <c r="O30" t="s">
        <v>482</v>
      </c>
      <c r="P30" s="73">
        <v>44808.48490740741</v>
      </c>
      <c r="Q30" t="s">
        <v>512</v>
      </c>
      <c r="R30">
        <v>0</v>
      </c>
      <c r="S30">
        <v>0</v>
      </c>
      <c r="T30">
        <v>0</v>
      </c>
      <c r="U30">
        <v>0</v>
      </c>
      <c r="Z30" t="s">
        <v>337</v>
      </c>
      <c r="AC30" s="74" t="s">
        <v>787</v>
      </c>
      <c r="AD30" t="s">
        <v>794</v>
      </c>
      <c r="AE30" s="75" t="str">
        <f>HYPERLINK("https://twitter.com/intanwarhani/status/1566390182114635776")</f>
        <v>https://twitter.com/intanwarhani/status/1566390182114635776</v>
      </c>
      <c r="AF30" s="73">
        <v>44808.48490740741</v>
      </c>
      <c r="AG30" s="77">
        <v>44808</v>
      </c>
      <c r="AH30" s="74" t="s">
        <v>826</v>
      </c>
      <c r="AV30" s="75" t="str">
        <f>HYPERLINK("https://pbs.twimg.com/profile_images/1517492179719323648/h3uLtUhZ_normal.jpg")</f>
        <v>https://pbs.twimg.com/profile_images/1517492179719323648/h3uLtUhZ_normal.jpg</v>
      </c>
      <c r="AW30" s="74" t="s">
        <v>1047</v>
      </c>
      <c r="AX30" s="74" t="s">
        <v>1245</v>
      </c>
      <c r="AY30" s="74" t="s">
        <v>1331</v>
      </c>
      <c r="AZ30" s="74" t="s">
        <v>1245</v>
      </c>
      <c r="BA30" s="74" t="s">
        <v>1384</v>
      </c>
      <c r="BB30" s="74" t="s">
        <v>1384</v>
      </c>
      <c r="BC30" s="74" t="s">
        <v>1245</v>
      </c>
      <c r="BD30" s="74" t="s">
        <v>1413</v>
      </c>
      <c r="BJ30" s="44">
        <v>3</v>
      </c>
      <c r="BK30" s="45">
        <v>75</v>
      </c>
      <c r="BL30" s="44">
        <v>0</v>
      </c>
      <c r="BM30" s="45">
        <v>0</v>
      </c>
      <c r="BN30" s="44">
        <v>0</v>
      </c>
      <c r="BO30" s="45">
        <v>0</v>
      </c>
      <c r="BP30" s="44">
        <v>1</v>
      </c>
      <c r="BQ30" s="45">
        <v>25</v>
      </c>
      <c r="BR30" s="44">
        <v>4</v>
      </c>
      <c r="BS30">
        <v>1</v>
      </c>
      <c r="BT30" s="112" t="str">
        <f>REPLACE(INDEX(GroupVertices[Group],MATCH("~"&amp;Edges37[[#This Row],[Vertex 1]],GroupVertices[Vertex],0)),1,1,"")</f>
        <v>5</v>
      </c>
      <c r="BU30" s="112" t="str">
        <f>REPLACE(INDEX(GroupVertices[Group],MATCH("~"&amp;Edges37[[#This Row],[Vertex 2]],GroupVertices[Vertex],0)),1,1,"")</f>
        <v>5</v>
      </c>
    </row>
    <row r="31" spans="1:73" ht="15">
      <c r="A31" s="59" t="s">
        <v>238</v>
      </c>
      <c r="B31" s="59" t="s">
        <v>334</v>
      </c>
      <c r="C31" s="60"/>
      <c r="D31" s="61"/>
      <c r="E31" s="62"/>
      <c r="F31" s="63"/>
      <c r="G31" s="60"/>
      <c r="H31" s="64"/>
      <c r="I31" s="65"/>
      <c r="J31" s="65"/>
      <c r="K31" s="30" t="s">
        <v>65</v>
      </c>
      <c r="L31" s="72">
        <v>33</v>
      </c>
      <c r="M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1" s="67"/>
      <c r="O31" t="s">
        <v>482</v>
      </c>
      <c r="P31" s="73">
        <v>44777.10601851852</v>
      </c>
      <c r="Q31" t="s">
        <v>513</v>
      </c>
      <c r="R31">
        <v>0</v>
      </c>
      <c r="S31">
        <v>1</v>
      </c>
      <c r="T31">
        <v>0</v>
      </c>
      <c r="U31">
        <v>0</v>
      </c>
      <c r="Z31" t="s">
        <v>334</v>
      </c>
      <c r="AC31" s="74" t="s">
        <v>787</v>
      </c>
      <c r="AD31" t="s">
        <v>794</v>
      </c>
      <c r="AE31" s="75" t="str">
        <f>HYPERLINK("https://twitter.com/intanwarhani/status/1555018855357247488")</f>
        <v>https://twitter.com/intanwarhani/status/1555018855357247488</v>
      </c>
      <c r="AF31" s="73">
        <v>44777.10601851852</v>
      </c>
      <c r="AG31" s="77">
        <v>44777</v>
      </c>
      <c r="AH31" s="74" t="s">
        <v>827</v>
      </c>
      <c r="AV31" s="75" t="str">
        <f>HYPERLINK("https://pbs.twimg.com/profile_images/1517492179719323648/h3uLtUhZ_normal.jpg")</f>
        <v>https://pbs.twimg.com/profile_images/1517492179719323648/h3uLtUhZ_normal.jpg</v>
      </c>
      <c r="AW31" s="74" t="s">
        <v>1048</v>
      </c>
      <c r="AX31" s="74" t="s">
        <v>1246</v>
      </c>
      <c r="AY31" s="74" t="s">
        <v>1327</v>
      </c>
      <c r="AZ31" s="74" t="s">
        <v>1246</v>
      </c>
      <c r="BA31" s="74" t="s">
        <v>1384</v>
      </c>
      <c r="BB31" s="74" t="s">
        <v>1384</v>
      </c>
      <c r="BC31" s="74" t="s">
        <v>1246</v>
      </c>
      <c r="BD31" s="74" t="s">
        <v>1413</v>
      </c>
      <c r="BJ31" s="44">
        <v>4</v>
      </c>
      <c r="BK31" s="45">
        <v>19.047619047619047</v>
      </c>
      <c r="BL31" s="44">
        <v>0</v>
      </c>
      <c r="BM31" s="45">
        <v>0</v>
      </c>
      <c r="BN31" s="44">
        <v>0</v>
      </c>
      <c r="BO31" s="45">
        <v>0</v>
      </c>
      <c r="BP31" s="44">
        <v>17</v>
      </c>
      <c r="BQ31" s="45">
        <v>80.95238095238095</v>
      </c>
      <c r="BR31" s="44">
        <v>21</v>
      </c>
      <c r="BS31">
        <v>1</v>
      </c>
      <c r="BT31" s="112" t="str">
        <f>REPLACE(INDEX(GroupVertices[Group],MATCH("~"&amp;Edges37[[#This Row],[Vertex 1]],GroupVertices[Vertex],0)),1,1,"")</f>
        <v>5</v>
      </c>
      <c r="BU31" s="112" t="str">
        <f>REPLACE(INDEX(GroupVertices[Group],MATCH("~"&amp;Edges37[[#This Row],[Vertex 2]],GroupVertices[Vertex],0)),1,1,"")</f>
        <v>4</v>
      </c>
    </row>
    <row r="32" spans="1:73" ht="15">
      <c r="A32" s="59" t="s">
        <v>238</v>
      </c>
      <c r="B32" s="59" t="s">
        <v>335</v>
      </c>
      <c r="C32" s="60"/>
      <c r="D32" s="61"/>
      <c r="E32" s="62"/>
      <c r="F32" s="63"/>
      <c r="G32" s="60"/>
      <c r="H32" s="64"/>
      <c r="I32" s="65"/>
      <c r="J32" s="65"/>
      <c r="K32" s="30" t="s">
        <v>65</v>
      </c>
      <c r="L32" s="72">
        <v>34</v>
      </c>
      <c r="M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2" s="67"/>
      <c r="O32" t="s">
        <v>482</v>
      </c>
      <c r="P32" s="73">
        <v>44776.54138888889</v>
      </c>
      <c r="Q32" t="s">
        <v>514</v>
      </c>
      <c r="R32">
        <v>0</v>
      </c>
      <c r="S32">
        <v>0</v>
      </c>
      <c r="T32">
        <v>0</v>
      </c>
      <c r="U32">
        <v>0</v>
      </c>
      <c r="Z32" t="s">
        <v>335</v>
      </c>
      <c r="AC32" s="74" t="s">
        <v>787</v>
      </c>
      <c r="AD32" t="s">
        <v>794</v>
      </c>
      <c r="AE32" s="75" t="str">
        <f>HYPERLINK("https://twitter.com/intanwarhani/status/1554814237868191745")</f>
        <v>https://twitter.com/intanwarhani/status/1554814237868191745</v>
      </c>
      <c r="AF32" s="73">
        <v>44776.54138888889</v>
      </c>
      <c r="AG32" s="77">
        <v>44776</v>
      </c>
      <c r="AH32" s="74" t="s">
        <v>828</v>
      </c>
      <c r="AV32" s="75" t="str">
        <f>HYPERLINK("https://pbs.twimg.com/profile_images/1517492179719323648/h3uLtUhZ_normal.jpg")</f>
        <v>https://pbs.twimg.com/profile_images/1517492179719323648/h3uLtUhZ_normal.jpg</v>
      </c>
      <c r="AW32" s="74" t="s">
        <v>1049</v>
      </c>
      <c r="AX32" s="74" t="s">
        <v>1247</v>
      </c>
      <c r="AY32" s="74" t="s">
        <v>1319</v>
      </c>
      <c r="AZ32" s="74" t="s">
        <v>1247</v>
      </c>
      <c r="BA32" s="74" t="s">
        <v>1384</v>
      </c>
      <c r="BB32" s="74" t="s">
        <v>1384</v>
      </c>
      <c r="BC32" s="74" t="s">
        <v>1247</v>
      </c>
      <c r="BD32" s="74" t="s">
        <v>1413</v>
      </c>
      <c r="BJ32" s="44">
        <v>3</v>
      </c>
      <c r="BK32" s="45">
        <v>60</v>
      </c>
      <c r="BL32" s="44">
        <v>0</v>
      </c>
      <c r="BM32" s="45">
        <v>0</v>
      </c>
      <c r="BN32" s="44">
        <v>0</v>
      </c>
      <c r="BO32" s="45">
        <v>0</v>
      </c>
      <c r="BP32" s="44">
        <v>2</v>
      </c>
      <c r="BQ32" s="45">
        <v>40</v>
      </c>
      <c r="BR32" s="44">
        <v>5</v>
      </c>
      <c r="BS32">
        <v>1</v>
      </c>
      <c r="BT32" s="112" t="str">
        <f>REPLACE(INDEX(GroupVertices[Group],MATCH("~"&amp;Edges37[[#This Row],[Vertex 1]],GroupVertices[Vertex],0)),1,1,"")</f>
        <v>5</v>
      </c>
      <c r="BU32" s="112" t="str">
        <f>REPLACE(INDEX(GroupVertices[Group],MATCH("~"&amp;Edges37[[#This Row],[Vertex 2]],GroupVertices[Vertex],0)),1,1,"")</f>
        <v>5</v>
      </c>
    </row>
    <row r="33" spans="1:73" ht="15">
      <c r="A33" s="59" t="s">
        <v>239</v>
      </c>
      <c r="B33" s="59" t="s">
        <v>355</v>
      </c>
      <c r="C33" s="60"/>
      <c r="D33" s="61"/>
      <c r="E33" s="62"/>
      <c r="F33" s="63"/>
      <c r="G33" s="60"/>
      <c r="H33" s="64"/>
      <c r="I33" s="65"/>
      <c r="J33" s="65"/>
      <c r="K33" s="30" t="s">
        <v>65</v>
      </c>
      <c r="L33" s="72">
        <v>35</v>
      </c>
      <c r="M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3" s="67"/>
      <c r="O33" t="s">
        <v>482</v>
      </c>
      <c r="P33" s="73">
        <v>44564.25482638889</v>
      </c>
      <c r="Q33" t="s">
        <v>515</v>
      </c>
      <c r="R33">
        <v>0</v>
      </c>
      <c r="S33">
        <v>0</v>
      </c>
      <c r="T33">
        <v>0</v>
      </c>
      <c r="U33">
        <v>0</v>
      </c>
      <c r="AC33" s="74" t="s">
        <v>787</v>
      </c>
      <c r="AD33" t="s">
        <v>794</v>
      </c>
      <c r="AE33" s="75" t="str">
        <f>HYPERLINK("https://twitter.com/sjaifulskb/status/1477884165521436672")</f>
        <v>https://twitter.com/sjaifulskb/status/1477884165521436672</v>
      </c>
      <c r="AF33" s="73">
        <v>44564.25482638889</v>
      </c>
      <c r="AG33" s="77">
        <v>44564</v>
      </c>
      <c r="AH33" s="74" t="s">
        <v>829</v>
      </c>
      <c r="AV33" s="75" t="str">
        <f>HYPERLINK("https://pbs.twimg.com/profile_images/3657796708/307ef7f44163cbbfab6a1de091d5a307_normal.jpeg")</f>
        <v>https://pbs.twimg.com/profile_images/3657796708/307ef7f44163cbbfab6a1de091d5a307_normal.jpeg</v>
      </c>
      <c r="AW33" s="74" t="s">
        <v>1050</v>
      </c>
      <c r="AX33" s="74" t="s">
        <v>1248</v>
      </c>
      <c r="AY33" s="74" t="s">
        <v>1332</v>
      </c>
      <c r="AZ33" s="74" t="s">
        <v>1248</v>
      </c>
      <c r="BA33" s="74" t="s">
        <v>1384</v>
      </c>
      <c r="BB33" s="74" t="s">
        <v>1384</v>
      </c>
      <c r="BC33" s="74" t="s">
        <v>1248</v>
      </c>
      <c r="BD33">
        <v>322726050</v>
      </c>
      <c r="BJ33" s="44">
        <v>3</v>
      </c>
      <c r="BK33" s="45">
        <v>75</v>
      </c>
      <c r="BL33" s="44">
        <v>0</v>
      </c>
      <c r="BM33" s="45">
        <v>0</v>
      </c>
      <c r="BN33" s="44">
        <v>0</v>
      </c>
      <c r="BO33" s="45">
        <v>0</v>
      </c>
      <c r="BP33" s="44">
        <v>1</v>
      </c>
      <c r="BQ33" s="45">
        <v>25</v>
      </c>
      <c r="BR33" s="44">
        <v>4</v>
      </c>
      <c r="BS33">
        <v>1</v>
      </c>
      <c r="BT33" s="112" t="str">
        <f>REPLACE(INDEX(GroupVertices[Group],MATCH("~"&amp;Edges37[[#This Row],[Vertex 1]],GroupVertices[Vertex],0)),1,1,"")</f>
        <v>22</v>
      </c>
      <c r="BU33" s="112" t="str">
        <f>REPLACE(INDEX(GroupVertices[Group],MATCH("~"&amp;Edges37[[#This Row],[Vertex 2]],GroupVertices[Vertex],0)),1,1,"")</f>
        <v>22</v>
      </c>
    </row>
    <row r="34" spans="1:73" ht="15">
      <c r="A34" s="59" t="s">
        <v>239</v>
      </c>
      <c r="B34" s="59" t="s">
        <v>356</v>
      </c>
      <c r="C34" s="60"/>
      <c r="D34" s="61"/>
      <c r="E34" s="62"/>
      <c r="F34" s="63"/>
      <c r="G34" s="60"/>
      <c r="H34" s="64"/>
      <c r="I34" s="65"/>
      <c r="J34" s="65"/>
      <c r="K34" s="30" t="s">
        <v>65</v>
      </c>
      <c r="L34" s="72">
        <v>36</v>
      </c>
      <c r="M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4" s="67"/>
      <c r="O34" t="s">
        <v>482</v>
      </c>
      <c r="P34" s="73">
        <v>45019.62045138889</v>
      </c>
      <c r="Q34" t="s">
        <v>516</v>
      </c>
      <c r="R34">
        <v>0</v>
      </c>
      <c r="S34">
        <v>2</v>
      </c>
      <c r="T34">
        <v>0</v>
      </c>
      <c r="U34">
        <v>0</v>
      </c>
      <c r="V34">
        <v>132</v>
      </c>
      <c r="Z34" t="s">
        <v>356</v>
      </c>
      <c r="AC34" s="74" t="s">
        <v>787</v>
      </c>
      <c r="AD34" t="s">
        <v>794</v>
      </c>
      <c r="AE34" s="75" t="str">
        <f>HYPERLINK("https://twitter.com/sjaifulskb/status/1642903143016189955")</f>
        <v>https://twitter.com/sjaifulskb/status/1642903143016189955</v>
      </c>
      <c r="AF34" s="73">
        <v>45019.62045138889</v>
      </c>
      <c r="AG34" s="77">
        <v>45019</v>
      </c>
      <c r="AH34" s="74" t="s">
        <v>830</v>
      </c>
      <c r="AV34" s="75" t="str">
        <f>HYPERLINK("https://pbs.twimg.com/profile_images/3657796708/307ef7f44163cbbfab6a1de091d5a307_normal.jpeg")</f>
        <v>https://pbs.twimg.com/profile_images/3657796708/307ef7f44163cbbfab6a1de091d5a307_normal.jpeg</v>
      </c>
      <c r="AW34" s="74" t="s">
        <v>1051</v>
      </c>
      <c r="AX34" s="74" t="s">
        <v>1249</v>
      </c>
      <c r="AY34" s="74" t="s">
        <v>1333</v>
      </c>
      <c r="AZ34" s="74" t="s">
        <v>1249</v>
      </c>
      <c r="BA34" s="74" t="s">
        <v>1384</v>
      </c>
      <c r="BB34" s="74" t="s">
        <v>1384</v>
      </c>
      <c r="BC34" s="74" t="s">
        <v>1249</v>
      </c>
      <c r="BD34">
        <v>322726050</v>
      </c>
      <c r="BJ34" s="44">
        <v>3</v>
      </c>
      <c r="BK34" s="45">
        <v>75</v>
      </c>
      <c r="BL34" s="44">
        <v>0</v>
      </c>
      <c r="BM34" s="45">
        <v>0</v>
      </c>
      <c r="BN34" s="44">
        <v>0</v>
      </c>
      <c r="BO34" s="45">
        <v>0</v>
      </c>
      <c r="BP34" s="44">
        <v>1</v>
      </c>
      <c r="BQ34" s="45">
        <v>25</v>
      </c>
      <c r="BR34" s="44">
        <v>4</v>
      </c>
      <c r="BS34">
        <v>1</v>
      </c>
      <c r="BT34" s="112" t="str">
        <f>REPLACE(INDEX(GroupVertices[Group],MATCH("~"&amp;Edges37[[#This Row],[Vertex 1]],GroupVertices[Vertex],0)),1,1,"")</f>
        <v>22</v>
      </c>
      <c r="BU34" s="112" t="str">
        <f>REPLACE(INDEX(GroupVertices[Group],MATCH("~"&amp;Edges37[[#This Row],[Vertex 2]],GroupVertices[Vertex],0)),1,1,"")</f>
        <v>22</v>
      </c>
    </row>
    <row r="35" spans="1:73" ht="15">
      <c r="A35" s="59" t="s">
        <v>240</v>
      </c>
      <c r="B35" s="59" t="s">
        <v>318</v>
      </c>
      <c r="C35" s="60"/>
      <c r="D35" s="61"/>
      <c r="E35" s="62"/>
      <c r="F35" s="63"/>
      <c r="G35" s="60"/>
      <c r="H35" s="64"/>
      <c r="I35" s="65"/>
      <c r="J35" s="65"/>
      <c r="K35" s="30" t="s">
        <v>65</v>
      </c>
      <c r="L35" s="72">
        <v>37</v>
      </c>
      <c r="M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5" s="67"/>
      <c r="O35" t="s">
        <v>482</v>
      </c>
      <c r="P35" s="73">
        <v>44568.022465277776</v>
      </c>
      <c r="Q35" t="s">
        <v>517</v>
      </c>
      <c r="R35">
        <v>0</v>
      </c>
      <c r="S35">
        <v>0</v>
      </c>
      <c r="T35">
        <v>0</v>
      </c>
      <c r="U35">
        <v>0</v>
      </c>
      <c r="W35" s="74" t="s">
        <v>682</v>
      </c>
      <c r="Z35" t="s">
        <v>318</v>
      </c>
      <c r="AC35" s="74" t="s">
        <v>787</v>
      </c>
      <c r="AD35" t="s">
        <v>796</v>
      </c>
      <c r="AE35" s="75" t="str">
        <f>HYPERLINK("https://twitter.com/81calra/status/1479249514301063174")</f>
        <v>https://twitter.com/81calra/status/1479249514301063174</v>
      </c>
      <c r="AF35" s="73">
        <v>44568.022465277776</v>
      </c>
      <c r="AG35" s="77">
        <v>44568</v>
      </c>
      <c r="AH35" s="74" t="s">
        <v>831</v>
      </c>
      <c r="AV35" s="75" t="str">
        <f>HYPERLINK("https://pbs.twimg.com/profile_images/1101616992027500545/zqfFjyzK_normal.jpg")</f>
        <v>https://pbs.twimg.com/profile_images/1101616992027500545/zqfFjyzK_normal.jpg</v>
      </c>
      <c r="AW35" s="74" t="s">
        <v>1052</v>
      </c>
      <c r="AX35" s="74" t="s">
        <v>1179</v>
      </c>
      <c r="AY35" s="74" t="s">
        <v>1334</v>
      </c>
      <c r="AZ35" s="74" t="s">
        <v>1179</v>
      </c>
      <c r="BA35" s="74" t="s">
        <v>1384</v>
      </c>
      <c r="BB35" s="74" t="s">
        <v>1384</v>
      </c>
      <c r="BC35" s="74" t="s">
        <v>1179</v>
      </c>
      <c r="BD35" s="74" t="s">
        <v>1414</v>
      </c>
      <c r="BJ35" s="44">
        <v>1</v>
      </c>
      <c r="BK35" s="45">
        <v>33.333333333333336</v>
      </c>
      <c r="BL35" s="44">
        <v>0</v>
      </c>
      <c r="BM35" s="45">
        <v>0</v>
      </c>
      <c r="BN35" s="44">
        <v>0</v>
      </c>
      <c r="BO35" s="45">
        <v>0</v>
      </c>
      <c r="BP35" s="44">
        <v>2</v>
      </c>
      <c r="BQ35" s="45">
        <v>66.66666666666667</v>
      </c>
      <c r="BR35" s="44">
        <v>3</v>
      </c>
      <c r="BS35">
        <v>1</v>
      </c>
      <c r="BT35" s="112" t="str">
        <f>REPLACE(INDEX(GroupVertices[Group],MATCH("~"&amp;Edges37[[#This Row],[Vertex 1]],GroupVertices[Vertex],0)),1,1,"")</f>
        <v>9</v>
      </c>
      <c r="BU35" s="112" t="str">
        <f>REPLACE(INDEX(GroupVertices[Group],MATCH("~"&amp;Edges37[[#This Row],[Vertex 2]],GroupVertices[Vertex],0)),1,1,"")</f>
        <v>9</v>
      </c>
    </row>
    <row r="36" spans="1:73" ht="15">
      <c r="A36" s="59" t="s">
        <v>241</v>
      </c>
      <c r="B36" s="59" t="s">
        <v>241</v>
      </c>
      <c r="C36" s="60"/>
      <c r="D36" s="61"/>
      <c r="E36" s="62"/>
      <c r="F36" s="63"/>
      <c r="G36" s="60"/>
      <c r="H36" s="64"/>
      <c r="I36" s="65"/>
      <c r="J36" s="65"/>
      <c r="K36" s="30" t="s">
        <v>65</v>
      </c>
      <c r="L36" s="72">
        <v>38</v>
      </c>
      <c r="M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6" s="67"/>
      <c r="O36" t="s">
        <v>177</v>
      </c>
      <c r="P36" s="73">
        <v>44641.68168981482</v>
      </c>
      <c r="Q36" t="s">
        <v>518</v>
      </c>
      <c r="R36">
        <v>0</v>
      </c>
      <c r="S36">
        <v>1</v>
      </c>
      <c r="T36">
        <v>0</v>
      </c>
      <c r="U36">
        <v>0</v>
      </c>
      <c r="W36" s="74" t="s">
        <v>682</v>
      </c>
      <c r="AA36" t="s">
        <v>764</v>
      </c>
      <c r="AB36" t="s">
        <v>783</v>
      </c>
      <c r="AC36" s="74" t="s">
        <v>787</v>
      </c>
      <c r="AD36" t="s">
        <v>794</v>
      </c>
      <c r="AE36" s="75" t="str">
        <f>HYPERLINK("https://twitter.com/pengabdi99/status/1505942722766680069")</f>
        <v>https://twitter.com/pengabdi99/status/1505942722766680069</v>
      </c>
      <c r="AF36" s="73">
        <v>44641.68168981482</v>
      </c>
      <c r="AG36" s="77">
        <v>44641</v>
      </c>
      <c r="AH36" s="74" t="s">
        <v>832</v>
      </c>
      <c r="AI36" t="b">
        <v>0</v>
      </c>
      <c r="AQ36" t="s">
        <v>1002</v>
      </c>
      <c r="AV36" s="75" t="str">
        <f>HYPERLINK("https://pbs.twimg.com/media/FOYu6fJXEAM9jhR.jpg")</f>
        <v>https://pbs.twimg.com/media/FOYu6fJXEAM9jhR.jpg</v>
      </c>
      <c r="AW36" s="74" t="s">
        <v>1053</v>
      </c>
      <c r="AX36" s="74" t="s">
        <v>1053</v>
      </c>
      <c r="AZ36" s="74" t="s">
        <v>1384</v>
      </c>
      <c r="BA36" s="74" t="s">
        <v>1384</v>
      </c>
      <c r="BB36" s="74" t="s">
        <v>1384</v>
      </c>
      <c r="BC36" s="74" t="s">
        <v>1053</v>
      </c>
      <c r="BD36">
        <v>97328251</v>
      </c>
      <c r="BJ36" s="44">
        <v>0</v>
      </c>
      <c r="BK36" s="45">
        <v>0</v>
      </c>
      <c r="BL36" s="44">
        <v>0</v>
      </c>
      <c r="BM36" s="45">
        <v>0</v>
      </c>
      <c r="BN36" s="44">
        <v>0</v>
      </c>
      <c r="BO36" s="45">
        <v>0</v>
      </c>
      <c r="BP36" s="44">
        <v>7</v>
      </c>
      <c r="BQ36" s="45">
        <v>100</v>
      </c>
      <c r="BR36" s="44">
        <v>7</v>
      </c>
      <c r="BS36">
        <v>1</v>
      </c>
      <c r="BT36" s="112" t="str">
        <f>REPLACE(INDEX(GroupVertices[Group],MATCH("~"&amp;Edges37[[#This Row],[Vertex 1]],GroupVertices[Vertex],0)),1,1,"")</f>
        <v>3</v>
      </c>
      <c r="BU36" s="112" t="str">
        <f>REPLACE(INDEX(GroupVertices[Group],MATCH("~"&amp;Edges37[[#This Row],[Vertex 2]],GroupVertices[Vertex],0)),1,1,"")</f>
        <v>3</v>
      </c>
    </row>
    <row r="37" spans="1:73" ht="15">
      <c r="A37" s="59" t="s">
        <v>242</v>
      </c>
      <c r="B37" s="59" t="s">
        <v>357</v>
      </c>
      <c r="C37" s="60"/>
      <c r="D37" s="61"/>
      <c r="E37" s="62"/>
      <c r="F37" s="63"/>
      <c r="G37" s="60"/>
      <c r="H37" s="64"/>
      <c r="I37" s="65"/>
      <c r="J37" s="65"/>
      <c r="K37" s="30" t="s">
        <v>65</v>
      </c>
      <c r="L37" s="72">
        <v>39</v>
      </c>
      <c r="M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7" s="67"/>
      <c r="O37" t="s">
        <v>481</v>
      </c>
      <c r="P37" s="73">
        <v>44547.92831018518</v>
      </c>
      <c r="Q37" t="s">
        <v>519</v>
      </c>
      <c r="R37">
        <v>0</v>
      </c>
      <c r="S37">
        <v>0</v>
      </c>
      <c r="T37">
        <v>0</v>
      </c>
      <c r="U37">
        <v>0</v>
      </c>
      <c r="X37" s="75" t="str">
        <f>HYPERLINK("https://chng.it/K4pfyT7w")</f>
        <v>https://chng.it/K4pfyT7w</v>
      </c>
      <c r="Y37" t="s">
        <v>711</v>
      </c>
      <c r="Z37" t="s">
        <v>357</v>
      </c>
      <c r="AC37" s="74" t="s">
        <v>787</v>
      </c>
      <c r="AD37" t="s">
        <v>794</v>
      </c>
      <c r="AE37" s="75" t="str">
        <f>HYPERLINK("https://twitter.com/arif_hakim86/status/1471967633926868995")</f>
        <v>https://twitter.com/arif_hakim86/status/1471967633926868995</v>
      </c>
      <c r="AF37" s="73">
        <v>44547.92831018518</v>
      </c>
      <c r="AG37" s="77">
        <v>44547</v>
      </c>
      <c r="AH37" s="74" t="s">
        <v>833</v>
      </c>
      <c r="AI37" t="b">
        <v>0</v>
      </c>
      <c r="AV37" s="75" t="str">
        <f>HYPERLINK("https://pbs.twimg.com/profile_images/1296768117436121088/Flj7WTWI_normal.jpg")</f>
        <v>https://pbs.twimg.com/profile_images/1296768117436121088/Flj7WTWI_normal.jpg</v>
      </c>
      <c r="AW37" s="74" t="s">
        <v>1054</v>
      </c>
      <c r="AX37" s="74" t="s">
        <v>1054</v>
      </c>
      <c r="AZ37" s="74" t="s">
        <v>1384</v>
      </c>
      <c r="BA37" s="74" t="s">
        <v>1384</v>
      </c>
      <c r="BB37" s="74" t="s">
        <v>1384</v>
      </c>
      <c r="BC37" s="74" t="s">
        <v>1054</v>
      </c>
      <c r="BD37">
        <v>163947327</v>
      </c>
      <c r="BJ37" s="44">
        <v>4</v>
      </c>
      <c r="BK37" s="45">
        <v>28.571428571428573</v>
      </c>
      <c r="BL37" s="44">
        <v>0</v>
      </c>
      <c r="BM37" s="45">
        <v>0</v>
      </c>
      <c r="BN37" s="44">
        <v>0</v>
      </c>
      <c r="BO37" s="45">
        <v>0</v>
      </c>
      <c r="BP37" s="44">
        <v>10</v>
      </c>
      <c r="BQ37" s="45">
        <v>71.42857142857143</v>
      </c>
      <c r="BR37" s="44">
        <v>14</v>
      </c>
      <c r="BS37">
        <v>8</v>
      </c>
      <c r="BT37" s="112" t="str">
        <f>REPLACE(INDEX(GroupVertices[Group],MATCH("~"&amp;Edges37[[#This Row],[Vertex 1]],GroupVertices[Vertex],0)),1,1,"")</f>
        <v>6</v>
      </c>
      <c r="BU37" s="112" t="str">
        <f>REPLACE(INDEX(GroupVertices[Group],MATCH("~"&amp;Edges37[[#This Row],[Vertex 2]],GroupVertices[Vertex],0)),1,1,"")</f>
        <v>6</v>
      </c>
    </row>
    <row r="38" spans="1:73" ht="15">
      <c r="A38" s="59" t="s">
        <v>243</v>
      </c>
      <c r="B38" s="59" t="s">
        <v>334</v>
      </c>
      <c r="C38" s="60"/>
      <c r="D38" s="61"/>
      <c r="E38" s="62"/>
      <c r="F38" s="63"/>
      <c r="G38" s="60"/>
      <c r="H38" s="64"/>
      <c r="I38" s="65"/>
      <c r="J38" s="65"/>
      <c r="K38" s="30" t="s">
        <v>65</v>
      </c>
      <c r="L38" s="72">
        <v>40</v>
      </c>
      <c r="M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8" s="67"/>
      <c r="O38" t="s">
        <v>482</v>
      </c>
      <c r="P38" s="73">
        <v>44550.1225462963</v>
      </c>
      <c r="Q38" t="s">
        <v>520</v>
      </c>
      <c r="R38">
        <v>0</v>
      </c>
      <c r="S38">
        <v>0</v>
      </c>
      <c r="T38">
        <v>0</v>
      </c>
      <c r="U38">
        <v>0</v>
      </c>
      <c r="Z38" t="s">
        <v>334</v>
      </c>
      <c r="AC38" s="74" t="s">
        <v>789</v>
      </c>
      <c r="AD38" t="s">
        <v>794</v>
      </c>
      <c r="AE38" s="75" t="str">
        <f>HYPERLINK("https://twitter.com/saibooali/status/1472762799570907136")</f>
        <v>https://twitter.com/saibooali/status/1472762799570907136</v>
      </c>
      <c r="AF38" s="73">
        <v>44550.1225462963</v>
      </c>
      <c r="AG38" s="77">
        <v>44550</v>
      </c>
      <c r="AH38" s="74" t="s">
        <v>834</v>
      </c>
      <c r="AV38" s="75" t="str">
        <f>HYPERLINK("https://pbs.twimg.com/profile_images/1614982638250659841/IPTjvBjf_normal.jpg")</f>
        <v>https://pbs.twimg.com/profile_images/1614982638250659841/IPTjvBjf_normal.jpg</v>
      </c>
      <c r="AW38" s="74" t="s">
        <v>1055</v>
      </c>
      <c r="AX38" s="74" t="s">
        <v>1250</v>
      </c>
      <c r="AY38" s="74" t="s">
        <v>1327</v>
      </c>
      <c r="AZ38" s="74" t="s">
        <v>1250</v>
      </c>
      <c r="BA38" s="74" t="s">
        <v>1384</v>
      </c>
      <c r="BB38" s="74" t="s">
        <v>1384</v>
      </c>
      <c r="BC38" s="74" t="s">
        <v>1250</v>
      </c>
      <c r="BD38">
        <v>3181369904</v>
      </c>
      <c r="BJ38" s="44">
        <v>3</v>
      </c>
      <c r="BK38" s="45">
        <v>75</v>
      </c>
      <c r="BL38" s="44">
        <v>0</v>
      </c>
      <c r="BM38" s="45">
        <v>0</v>
      </c>
      <c r="BN38" s="44">
        <v>0</v>
      </c>
      <c r="BO38" s="45">
        <v>0</v>
      </c>
      <c r="BP38" s="44">
        <v>1</v>
      </c>
      <c r="BQ38" s="45">
        <v>25</v>
      </c>
      <c r="BR38" s="44">
        <v>4</v>
      </c>
      <c r="BS38">
        <v>1</v>
      </c>
      <c r="BT38" s="112" t="str">
        <f>REPLACE(INDEX(GroupVertices[Group],MATCH("~"&amp;Edges37[[#This Row],[Vertex 1]],GroupVertices[Vertex],0)),1,1,"")</f>
        <v>4</v>
      </c>
      <c r="BU38" s="112" t="str">
        <f>REPLACE(INDEX(GroupVertices[Group],MATCH("~"&amp;Edges37[[#This Row],[Vertex 2]],GroupVertices[Vertex],0)),1,1,"")</f>
        <v>4</v>
      </c>
    </row>
    <row r="39" spans="1:73" ht="15">
      <c r="A39" s="59" t="s">
        <v>244</v>
      </c>
      <c r="B39" s="59" t="s">
        <v>337</v>
      </c>
      <c r="C39" s="60"/>
      <c r="D39" s="61"/>
      <c r="E39" s="62"/>
      <c r="F39" s="63"/>
      <c r="G39" s="60"/>
      <c r="H39" s="64"/>
      <c r="I39" s="65"/>
      <c r="J39" s="65"/>
      <c r="K39" s="30" t="s">
        <v>65</v>
      </c>
      <c r="L39" s="72">
        <v>41</v>
      </c>
      <c r="M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9" s="67"/>
      <c r="O39" t="s">
        <v>484</v>
      </c>
      <c r="P39" s="73">
        <v>44645.02274305555</v>
      </c>
      <c r="Q39" t="s">
        <v>521</v>
      </c>
      <c r="R39">
        <v>0</v>
      </c>
      <c r="S39">
        <v>0</v>
      </c>
      <c r="T39">
        <v>0</v>
      </c>
      <c r="U39">
        <v>0</v>
      </c>
      <c r="AC39" s="74" t="s">
        <v>787</v>
      </c>
      <c r="AD39" t="s">
        <v>794</v>
      </c>
      <c r="AE39" s="75" t="str">
        <f>HYPERLINK("https://twitter.com/pahmilubis10/status/1507153478501937152")</f>
        <v>https://twitter.com/pahmilubis10/status/1507153478501937152</v>
      </c>
      <c r="AF39" s="73">
        <v>44645.02274305555</v>
      </c>
      <c r="AG39" s="77">
        <v>44645</v>
      </c>
      <c r="AH39" s="74" t="s">
        <v>835</v>
      </c>
      <c r="AV39" s="75" t="str">
        <f>HYPERLINK("https://pbs.twimg.com/profile_images/1462267659978887168/SvR_oFeR_normal.jpg")</f>
        <v>https://pbs.twimg.com/profile_images/1462267659978887168/SvR_oFeR_normal.jpg</v>
      </c>
      <c r="AW39" s="74" t="s">
        <v>1056</v>
      </c>
      <c r="AX39" s="74" t="s">
        <v>1056</v>
      </c>
      <c r="AZ39" s="74" t="s">
        <v>1384</v>
      </c>
      <c r="BA39" s="74" t="s">
        <v>1212</v>
      </c>
      <c r="BB39" s="74" t="s">
        <v>1384</v>
      </c>
      <c r="BC39" s="74" t="s">
        <v>1212</v>
      </c>
      <c r="BD39" s="74" t="s">
        <v>1415</v>
      </c>
      <c r="BJ39" s="44">
        <v>3</v>
      </c>
      <c r="BK39" s="45">
        <v>27.272727272727273</v>
      </c>
      <c r="BL39" s="44">
        <v>0</v>
      </c>
      <c r="BM39" s="45">
        <v>0</v>
      </c>
      <c r="BN39" s="44">
        <v>0</v>
      </c>
      <c r="BO39" s="45">
        <v>0</v>
      </c>
      <c r="BP39" s="44">
        <v>8</v>
      </c>
      <c r="BQ39" s="45">
        <v>72.72727272727273</v>
      </c>
      <c r="BR39" s="44">
        <v>11</v>
      </c>
      <c r="BS39">
        <v>1</v>
      </c>
      <c r="BT39" s="112" t="str">
        <f>REPLACE(INDEX(GroupVertices[Group],MATCH("~"&amp;Edges37[[#This Row],[Vertex 1]],GroupVertices[Vertex],0)),1,1,"")</f>
        <v>5</v>
      </c>
      <c r="BU39" s="112" t="str">
        <f>REPLACE(INDEX(GroupVertices[Group],MATCH("~"&amp;Edges37[[#This Row],[Vertex 2]],GroupVertices[Vertex],0)),1,1,"")</f>
        <v>5</v>
      </c>
    </row>
    <row r="40" spans="1:73" ht="15">
      <c r="A40" s="59" t="s">
        <v>245</v>
      </c>
      <c r="B40" s="59" t="s">
        <v>357</v>
      </c>
      <c r="C40" s="60"/>
      <c r="D40" s="61"/>
      <c r="E40" s="62"/>
      <c r="F40" s="63"/>
      <c r="G40" s="60"/>
      <c r="H40" s="64"/>
      <c r="I40" s="65"/>
      <c r="J40" s="65"/>
      <c r="K40" s="30" t="s">
        <v>65</v>
      </c>
      <c r="L40" s="72">
        <v>42</v>
      </c>
      <c r="M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0" s="67"/>
      <c r="O40" t="s">
        <v>481</v>
      </c>
      <c r="P40" s="73">
        <v>44555.12694444445</v>
      </c>
      <c r="Q40" t="s">
        <v>522</v>
      </c>
      <c r="R40">
        <v>0</v>
      </c>
      <c r="S40">
        <v>1</v>
      </c>
      <c r="T40">
        <v>0</v>
      </c>
      <c r="U40">
        <v>0</v>
      </c>
      <c r="X40" s="75" t="str">
        <f>HYPERLINK("https://chng.it/XpRxqxpy")</f>
        <v>https://chng.it/XpRxqxpy</v>
      </c>
      <c r="Y40" t="s">
        <v>711</v>
      </c>
      <c r="Z40" t="s">
        <v>357</v>
      </c>
      <c r="AC40" s="74" t="s">
        <v>786</v>
      </c>
      <c r="AD40" t="s">
        <v>794</v>
      </c>
      <c r="AE40" s="75" t="str">
        <f>HYPERLINK("https://twitter.com/bonco19/status/1474576330125574146")</f>
        <v>https://twitter.com/bonco19/status/1474576330125574146</v>
      </c>
      <c r="AF40" s="73">
        <v>44555.12694444445</v>
      </c>
      <c r="AG40" s="77">
        <v>44555</v>
      </c>
      <c r="AH40" s="74" t="s">
        <v>836</v>
      </c>
      <c r="AI40" t="b">
        <v>0</v>
      </c>
      <c r="AV40" s="75" t="str">
        <f>HYPERLINK("https://pbs.twimg.com/profile_images/1210455325553254400/hZBCLWzB_normal.jpg")</f>
        <v>https://pbs.twimg.com/profile_images/1210455325553254400/hZBCLWzB_normal.jpg</v>
      </c>
      <c r="AW40" s="74" t="s">
        <v>1057</v>
      </c>
      <c r="AX40" s="74" t="s">
        <v>1057</v>
      </c>
      <c r="AZ40" s="74" t="s">
        <v>1384</v>
      </c>
      <c r="BA40" s="74" t="s">
        <v>1384</v>
      </c>
      <c r="BB40" s="74" t="s">
        <v>1384</v>
      </c>
      <c r="BC40" s="74" t="s">
        <v>1057</v>
      </c>
      <c r="BD40">
        <v>34505885</v>
      </c>
      <c r="BJ40" s="44">
        <v>6</v>
      </c>
      <c r="BK40" s="45">
        <v>40</v>
      </c>
      <c r="BL40" s="44">
        <v>0</v>
      </c>
      <c r="BM40" s="45">
        <v>0</v>
      </c>
      <c r="BN40" s="44">
        <v>0</v>
      </c>
      <c r="BO40" s="45">
        <v>0</v>
      </c>
      <c r="BP40" s="44">
        <v>9</v>
      </c>
      <c r="BQ40" s="45">
        <v>60</v>
      </c>
      <c r="BR40" s="44">
        <v>15</v>
      </c>
      <c r="BS40">
        <v>1</v>
      </c>
      <c r="BT40" s="112" t="str">
        <f>REPLACE(INDEX(GroupVertices[Group],MATCH("~"&amp;Edges37[[#This Row],[Vertex 1]],GroupVertices[Vertex],0)),1,1,"")</f>
        <v>6</v>
      </c>
      <c r="BU40" s="112" t="str">
        <f>REPLACE(INDEX(GroupVertices[Group],MATCH("~"&amp;Edges37[[#This Row],[Vertex 2]],GroupVertices[Vertex],0)),1,1,"")</f>
        <v>6</v>
      </c>
    </row>
    <row r="41" spans="1:73" ht="15">
      <c r="A41" s="59" t="s">
        <v>245</v>
      </c>
      <c r="B41" s="59" t="s">
        <v>358</v>
      </c>
      <c r="C41" s="60"/>
      <c r="D41" s="61"/>
      <c r="E41" s="62"/>
      <c r="F41" s="63"/>
      <c r="G41" s="60"/>
      <c r="H41" s="64"/>
      <c r="I41" s="65"/>
      <c r="J41" s="65"/>
      <c r="K41" s="30" t="s">
        <v>65</v>
      </c>
      <c r="L41" s="72">
        <v>43</v>
      </c>
      <c r="M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1" s="67"/>
      <c r="O41" t="s">
        <v>482</v>
      </c>
      <c r="P41" s="73">
        <v>44597.98535879629</v>
      </c>
      <c r="Q41" t="s">
        <v>523</v>
      </c>
      <c r="R41">
        <v>0</v>
      </c>
      <c r="S41">
        <v>0</v>
      </c>
      <c r="T41">
        <v>0</v>
      </c>
      <c r="U41">
        <v>0</v>
      </c>
      <c r="Z41" t="s">
        <v>358</v>
      </c>
      <c r="AC41" s="74" t="s">
        <v>787</v>
      </c>
      <c r="AD41" t="s">
        <v>794</v>
      </c>
      <c r="AE41" s="75" t="str">
        <f>HYPERLINK("https://twitter.com/bonco19/status/1490107699979186176")</f>
        <v>https://twitter.com/bonco19/status/1490107699979186176</v>
      </c>
      <c r="AF41" s="73">
        <v>44597.98535879629</v>
      </c>
      <c r="AG41" s="77">
        <v>44597</v>
      </c>
      <c r="AH41" s="74" t="s">
        <v>837</v>
      </c>
      <c r="AV41" s="75" t="str">
        <f>HYPERLINK("https://pbs.twimg.com/profile_images/1210455325553254400/hZBCLWzB_normal.jpg")</f>
        <v>https://pbs.twimg.com/profile_images/1210455325553254400/hZBCLWzB_normal.jpg</v>
      </c>
      <c r="AW41" s="74" t="s">
        <v>1058</v>
      </c>
      <c r="AX41" s="74" t="s">
        <v>1251</v>
      </c>
      <c r="AY41" s="74" t="s">
        <v>1335</v>
      </c>
      <c r="AZ41" s="74" t="s">
        <v>1251</v>
      </c>
      <c r="BA41" s="74" t="s">
        <v>1384</v>
      </c>
      <c r="BB41" s="74" t="s">
        <v>1384</v>
      </c>
      <c r="BC41" s="74" t="s">
        <v>1251</v>
      </c>
      <c r="BD41">
        <v>34505885</v>
      </c>
      <c r="BJ41" s="44">
        <v>3</v>
      </c>
      <c r="BK41" s="45">
        <v>75</v>
      </c>
      <c r="BL41" s="44">
        <v>0</v>
      </c>
      <c r="BM41" s="45">
        <v>0</v>
      </c>
      <c r="BN41" s="44">
        <v>0</v>
      </c>
      <c r="BO41" s="45">
        <v>0</v>
      </c>
      <c r="BP41" s="44">
        <v>1</v>
      </c>
      <c r="BQ41" s="45">
        <v>25</v>
      </c>
      <c r="BR41" s="44">
        <v>4</v>
      </c>
      <c r="BS41">
        <v>1</v>
      </c>
      <c r="BT41" s="112" t="str">
        <f>REPLACE(INDEX(GroupVertices[Group],MATCH("~"&amp;Edges37[[#This Row],[Vertex 1]],GroupVertices[Vertex],0)),1,1,"")</f>
        <v>6</v>
      </c>
      <c r="BU41" s="112" t="str">
        <f>REPLACE(INDEX(GroupVertices[Group],MATCH("~"&amp;Edges37[[#This Row],[Vertex 2]],GroupVertices[Vertex],0)),1,1,"")</f>
        <v>6</v>
      </c>
    </row>
    <row r="42" spans="1:73" ht="15">
      <c r="A42" s="59" t="s">
        <v>245</v>
      </c>
      <c r="B42" s="59" t="s">
        <v>314</v>
      </c>
      <c r="C42" s="60"/>
      <c r="D42" s="61"/>
      <c r="E42" s="62"/>
      <c r="F42" s="63"/>
      <c r="G42" s="60"/>
      <c r="H42" s="64"/>
      <c r="I42" s="65"/>
      <c r="J42" s="65"/>
      <c r="K42" s="30" t="s">
        <v>65</v>
      </c>
      <c r="L42" s="72">
        <v>44</v>
      </c>
      <c r="M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2" s="67"/>
      <c r="O42" t="s">
        <v>484</v>
      </c>
      <c r="P42" s="73">
        <v>44558.0297337963</v>
      </c>
      <c r="Q42" t="s">
        <v>524</v>
      </c>
      <c r="R42">
        <v>0</v>
      </c>
      <c r="S42">
        <v>0</v>
      </c>
      <c r="T42">
        <v>0</v>
      </c>
      <c r="U42">
        <v>0</v>
      </c>
      <c r="AC42" s="74" t="s">
        <v>787</v>
      </c>
      <c r="AD42" t="s">
        <v>794</v>
      </c>
      <c r="AE42" s="75" t="str">
        <f>HYPERLINK("https://twitter.com/bonco19/status/1475628268409978887")</f>
        <v>https://twitter.com/bonco19/status/1475628268409978887</v>
      </c>
      <c r="AF42" s="73">
        <v>44558.0297337963</v>
      </c>
      <c r="AG42" s="77">
        <v>44558</v>
      </c>
      <c r="AH42" s="74" t="s">
        <v>838</v>
      </c>
      <c r="AV42" s="75" t="str">
        <f>HYPERLINK("https://pbs.twimg.com/profile_images/1210455325553254400/hZBCLWzB_normal.jpg")</f>
        <v>https://pbs.twimg.com/profile_images/1210455325553254400/hZBCLWzB_normal.jpg</v>
      </c>
      <c r="AW42" s="74" t="s">
        <v>1059</v>
      </c>
      <c r="AX42" s="74" t="s">
        <v>1059</v>
      </c>
      <c r="AZ42" s="74" t="s">
        <v>1384</v>
      </c>
      <c r="BA42" s="74" t="s">
        <v>1171</v>
      </c>
      <c r="BB42" s="74" t="s">
        <v>1384</v>
      </c>
      <c r="BC42" s="74" t="s">
        <v>1171</v>
      </c>
      <c r="BD42">
        <v>34505885</v>
      </c>
      <c r="BJ42" s="44">
        <v>4</v>
      </c>
      <c r="BK42" s="45">
        <v>66.66666666666667</v>
      </c>
      <c r="BL42" s="44">
        <v>0</v>
      </c>
      <c r="BM42" s="45">
        <v>0</v>
      </c>
      <c r="BN42" s="44">
        <v>0</v>
      </c>
      <c r="BO42" s="45">
        <v>0</v>
      </c>
      <c r="BP42" s="44">
        <v>2</v>
      </c>
      <c r="BQ42" s="45">
        <v>33.333333333333336</v>
      </c>
      <c r="BR42" s="44">
        <v>6</v>
      </c>
      <c r="BS42">
        <v>1</v>
      </c>
      <c r="BT42" s="112" t="str">
        <f>REPLACE(INDEX(GroupVertices[Group],MATCH("~"&amp;Edges37[[#This Row],[Vertex 1]],GroupVertices[Vertex],0)),1,1,"")</f>
        <v>6</v>
      </c>
      <c r="BU42" s="112" t="str">
        <f>REPLACE(INDEX(GroupVertices[Group],MATCH("~"&amp;Edges37[[#This Row],[Vertex 2]],GroupVertices[Vertex],0)),1,1,"")</f>
        <v>11</v>
      </c>
    </row>
    <row r="43" spans="1:73" ht="15">
      <c r="A43" s="59" t="s">
        <v>245</v>
      </c>
      <c r="B43" s="59" t="s">
        <v>223</v>
      </c>
      <c r="C43" s="60"/>
      <c r="D43" s="61"/>
      <c r="E43" s="62"/>
      <c r="F43" s="63"/>
      <c r="G43" s="60"/>
      <c r="H43" s="64"/>
      <c r="I43" s="65"/>
      <c r="J43" s="65"/>
      <c r="K43" s="30" t="s">
        <v>65</v>
      </c>
      <c r="L43" s="72">
        <v>45</v>
      </c>
      <c r="M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3" s="67"/>
      <c r="O43" t="s">
        <v>484</v>
      </c>
      <c r="P43" s="73">
        <v>44556.22386574074</v>
      </c>
      <c r="Q43" t="s">
        <v>525</v>
      </c>
      <c r="R43">
        <v>0</v>
      </c>
      <c r="S43">
        <v>1</v>
      </c>
      <c r="T43">
        <v>0</v>
      </c>
      <c r="U43">
        <v>0</v>
      </c>
      <c r="AC43" s="74" t="s">
        <v>786</v>
      </c>
      <c r="AD43" t="s">
        <v>794</v>
      </c>
      <c r="AE43" s="75" t="str">
        <f>HYPERLINK("https://twitter.com/bonco19/status/1474973841092792324")</f>
        <v>https://twitter.com/bonco19/status/1474973841092792324</v>
      </c>
      <c r="AF43" s="73">
        <v>44556.22386574074</v>
      </c>
      <c r="AG43" s="77">
        <v>44556</v>
      </c>
      <c r="AH43" s="74" t="s">
        <v>839</v>
      </c>
      <c r="AV43" s="75" t="str">
        <f>HYPERLINK("https://pbs.twimg.com/profile_images/1210455325553254400/hZBCLWzB_normal.jpg")</f>
        <v>https://pbs.twimg.com/profile_images/1210455325553254400/hZBCLWzB_normal.jpg</v>
      </c>
      <c r="AW43" s="74" t="s">
        <v>1060</v>
      </c>
      <c r="AX43" s="74" t="s">
        <v>1060</v>
      </c>
      <c r="AZ43" s="74" t="s">
        <v>1384</v>
      </c>
      <c r="BA43" s="74" t="s">
        <v>1132</v>
      </c>
      <c r="BB43" s="74" t="s">
        <v>1384</v>
      </c>
      <c r="BC43" s="74" t="s">
        <v>1132</v>
      </c>
      <c r="BD43">
        <v>34505885</v>
      </c>
      <c r="BJ43" s="44">
        <v>3</v>
      </c>
      <c r="BK43" s="45">
        <v>100</v>
      </c>
      <c r="BL43" s="44">
        <v>0</v>
      </c>
      <c r="BM43" s="45">
        <v>0</v>
      </c>
      <c r="BN43" s="44">
        <v>0</v>
      </c>
      <c r="BO43" s="45">
        <v>0</v>
      </c>
      <c r="BP43" s="44">
        <v>0</v>
      </c>
      <c r="BQ43" s="45">
        <v>0</v>
      </c>
      <c r="BR43" s="44">
        <v>3</v>
      </c>
      <c r="BS43">
        <v>1</v>
      </c>
      <c r="BT43" s="112" t="str">
        <f>REPLACE(INDEX(GroupVertices[Group],MATCH("~"&amp;Edges37[[#This Row],[Vertex 1]],GroupVertices[Vertex],0)),1,1,"")</f>
        <v>6</v>
      </c>
      <c r="BU43" s="112" t="str">
        <f>REPLACE(INDEX(GroupVertices[Group],MATCH("~"&amp;Edges37[[#This Row],[Vertex 2]],GroupVertices[Vertex],0)),1,1,"")</f>
        <v>6</v>
      </c>
    </row>
    <row r="44" spans="1:73" ht="15">
      <c r="A44" s="59" t="s">
        <v>245</v>
      </c>
      <c r="B44" s="59" t="s">
        <v>341</v>
      </c>
      <c r="C44" s="60"/>
      <c r="D44" s="61"/>
      <c r="E44" s="62"/>
      <c r="F44" s="63"/>
      <c r="G44" s="60"/>
      <c r="H44" s="64"/>
      <c r="I44" s="65"/>
      <c r="J44" s="65"/>
      <c r="K44" s="30" t="s">
        <v>65</v>
      </c>
      <c r="L44" s="72">
        <v>46</v>
      </c>
      <c r="M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4" s="67"/>
      <c r="O44" t="s">
        <v>482</v>
      </c>
      <c r="P44" s="73">
        <v>44573.2547337963</v>
      </c>
      <c r="Q44" t="s">
        <v>526</v>
      </c>
      <c r="R44">
        <v>0</v>
      </c>
      <c r="S44">
        <v>0</v>
      </c>
      <c r="T44">
        <v>0</v>
      </c>
      <c r="U44">
        <v>0</v>
      </c>
      <c r="W44" s="74" t="s">
        <v>682</v>
      </c>
      <c r="Z44" t="s">
        <v>341</v>
      </c>
      <c r="AC44" s="74" t="s">
        <v>787</v>
      </c>
      <c r="AD44" t="s">
        <v>794</v>
      </c>
      <c r="AE44" s="75" t="str">
        <f>HYPERLINK("https://twitter.com/bonco19/status/1481145623726686209")</f>
        <v>https://twitter.com/bonco19/status/1481145623726686209</v>
      </c>
      <c r="AF44" s="73">
        <v>44573.2547337963</v>
      </c>
      <c r="AG44" s="77">
        <v>44573</v>
      </c>
      <c r="AH44" s="74" t="s">
        <v>840</v>
      </c>
      <c r="AV44" s="75" t="str">
        <f>HYPERLINK("https://pbs.twimg.com/profile_images/1210455325553254400/hZBCLWzB_normal.jpg")</f>
        <v>https://pbs.twimg.com/profile_images/1210455325553254400/hZBCLWzB_normal.jpg</v>
      </c>
      <c r="AW44" s="74" t="s">
        <v>1061</v>
      </c>
      <c r="AX44" s="74" t="s">
        <v>1242</v>
      </c>
      <c r="AY44" s="74" t="s">
        <v>1328</v>
      </c>
      <c r="AZ44" s="74" t="s">
        <v>1242</v>
      </c>
      <c r="BA44" s="74" t="s">
        <v>1384</v>
      </c>
      <c r="BB44" s="74" t="s">
        <v>1384</v>
      </c>
      <c r="BC44" s="74" t="s">
        <v>1242</v>
      </c>
      <c r="BD44">
        <v>34505885</v>
      </c>
      <c r="BJ44" s="44">
        <v>3</v>
      </c>
      <c r="BK44" s="45">
        <v>30</v>
      </c>
      <c r="BL44" s="44">
        <v>0</v>
      </c>
      <c r="BM44" s="45">
        <v>0</v>
      </c>
      <c r="BN44" s="44">
        <v>0</v>
      </c>
      <c r="BO44" s="45">
        <v>0</v>
      </c>
      <c r="BP44" s="44">
        <v>7</v>
      </c>
      <c r="BQ44" s="45">
        <v>70</v>
      </c>
      <c r="BR44" s="44">
        <v>10</v>
      </c>
      <c r="BS44">
        <v>27</v>
      </c>
      <c r="BT44" s="112" t="str">
        <f>REPLACE(INDEX(GroupVertices[Group],MATCH("~"&amp;Edges37[[#This Row],[Vertex 1]],GroupVertices[Vertex],0)),1,1,"")</f>
        <v>6</v>
      </c>
      <c r="BU44" s="112" t="str">
        <f>REPLACE(INDEX(GroupVertices[Group],MATCH("~"&amp;Edges37[[#This Row],[Vertex 2]],GroupVertices[Vertex],0)),1,1,"")</f>
        <v>6</v>
      </c>
    </row>
    <row r="45" spans="1:73" ht="15">
      <c r="A45" s="59" t="s">
        <v>245</v>
      </c>
      <c r="B45" s="59" t="s">
        <v>245</v>
      </c>
      <c r="C45" s="60"/>
      <c r="D45" s="61"/>
      <c r="E45" s="62"/>
      <c r="F45" s="63"/>
      <c r="G45" s="60"/>
      <c r="H45" s="64"/>
      <c r="I45" s="65"/>
      <c r="J45" s="65"/>
      <c r="K45" s="30" t="s">
        <v>65</v>
      </c>
      <c r="L45" s="72">
        <v>47</v>
      </c>
      <c r="M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5" s="67"/>
      <c r="O45" t="s">
        <v>177</v>
      </c>
      <c r="P45" s="73">
        <v>44579.5528587963</v>
      </c>
      <c r="Q45" t="s">
        <v>527</v>
      </c>
      <c r="R45">
        <v>0</v>
      </c>
      <c r="S45">
        <v>1</v>
      </c>
      <c r="T45">
        <v>0</v>
      </c>
      <c r="U45">
        <v>0</v>
      </c>
      <c r="W45" s="74" t="s">
        <v>685</v>
      </c>
      <c r="AC45" s="74" t="s">
        <v>786</v>
      </c>
      <c r="AD45" t="s">
        <v>794</v>
      </c>
      <c r="AE45" s="75" t="str">
        <f>HYPERLINK("https://twitter.com/bonco19/status/1483427985881731075")</f>
        <v>https://twitter.com/bonco19/status/1483427985881731075</v>
      </c>
      <c r="AF45" s="73">
        <v>44579.5528587963</v>
      </c>
      <c r="AG45" s="77">
        <v>44579</v>
      </c>
      <c r="AH45" s="74" t="s">
        <v>841</v>
      </c>
      <c r="AV45" s="75" t="str">
        <f>HYPERLINK("https://pbs.twimg.com/profile_images/1210455325553254400/hZBCLWzB_normal.jpg")</f>
        <v>https://pbs.twimg.com/profile_images/1210455325553254400/hZBCLWzB_normal.jpg</v>
      </c>
      <c r="AW45" s="74" t="s">
        <v>1062</v>
      </c>
      <c r="AX45" s="74" t="s">
        <v>1062</v>
      </c>
      <c r="AZ45" s="74" t="s">
        <v>1384</v>
      </c>
      <c r="BA45" s="74" t="s">
        <v>1384</v>
      </c>
      <c r="BB45" s="74" t="s">
        <v>1384</v>
      </c>
      <c r="BC45" s="74" t="s">
        <v>1062</v>
      </c>
      <c r="BD45">
        <v>34505885</v>
      </c>
      <c r="BJ45" s="44">
        <v>4</v>
      </c>
      <c r="BK45" s="45">
        <v>13.793103448275861</v>
      </c>
      <c r="BL45" s="44">
        <v>1</v>
      </c>
      <c r="BM45" s="45">
        <v>3.4482758620689653</v>
      </c>
      <c r="BN45" s="44">
        <v>0</v>
      </c>
      <c r="BO45" s="45">
        <v>0</v>
      </c>
      <c r="BP45" s="44">
        <v>24</v>
      </c>
      <c r="BQ45" s="45">
        <v>82.75862068965517</v>
      </c>
      <c r="BR45" s="44">
        <v>29</v>
      </c>
      <c r="BS45">
        <v>8</v>
      </c>
      <c r="BT45" s="112" t="str">
        <f>REPLACE(INDEX(GroupVertices[Group],MATCH("~"&amp;Edges37[[#This Row],[Vertex 1]],GroupVertices[Vertex],0)),1,1,"")</f>
        <v>6</v>
      </c>
      <c r="BU45" s="112" t="str">
        <f>REPLACE(INDEX(GroupVertices[Group],MATCH("~"&amp;Edges37[[#This Row],[Vertex 2]],GroupVertices[Vertex],0)),1,1,"")</f>
        <v>6</v>
      </c>
    </row>
    <row r="46" spans="1:73" ht="15">
      <c r="A46" s="59" t="s">
        <v>246</v>
      </c>
      <c r="B46" s="59" t="s">
        <v>341</v>
      </c>
      <c r="C46" s="60"/>
      <c r="D46" s="61"/>
      <c r="E46" s="62"/>
      <c r="F46" s="63"/>
      <c r="G46" s="60"/>
      <c r="H46" s="64"/>
      <c r="I46" s="65"/>
      <c r="J46" s="65"/>
      <c r="K46" s="30" t="s">
        <v>65</v>
      </c>
      <c r="L46" s="72">
        <v>48</v>
      </c>
      <c r="M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6" s="67"/>
      <c r="O46" t="s">
        <v>484</v>
      </c>
      <c r="P46" s="73">
        <v>44572.320081018515</v>
      </c>
      <c r="Q46" t="s">
        <v>528</v>
      </c>
      <c r="R46">
        <v>0</v>
      </c>
      <c r="S46">
        <v>1</v>
      </c>
      <c r="T46">
        <v>0</v>
      </c>
      <c r="U46">
        <v>0</v>
      </c>
      <c r="W46" s="74" t="s">
        <v>682</v>
      </c>
      <c r="AC46" s="74" t="s">
        <v>787</v>
      </c>
      <c r="AD46" t="s">
        <v>797</v>
      </c>
      <c r="AE46" s="75" t="str">
        <f>HYPERLINK("https://twitter.com/pakkumi93921831/status/1480806916561408000")</f>
        <v>https://twitter.com/pakkumi93921831/status/1480806916561408000</v>
      </c>
      <c r="AF46" s="73">
        <v>44572.320081018515</v>
      </c>
      <c r="AG46" s="77">
        <v>44572</v>
      </c>
      <c r="AH46" s="74" t="s">
        <v>842</v>
      </c>
      <c r="AV46" s="75" t="str">
        <f>HYPERLINK("https://pbs.twimg.com/profile_images/1335250083495911424/nQPnANJj_normal.jpg")</f>
        <v>https://pbs.twimg.com/profile_images/1335250083495911424/nQPnANJj_normal.jpg</v>
      </c>
      <c r="AW46" s="74" t="s">
        <v>1063</v>
      </c>
      <c r="AX46" s="74" t="s">
        <v>1063</v>
      </c>
      <c r="AZ46" s="74" t="s">
        <v>1384</v>
      </c>
      <c r="BA46" s="74" t="s">
        <v>1223</v>
      </c>
      <c r="BB46" s="74" t="s">
        <v>1384</v>
      </c>
      <c r="BC46" s="74" t="s">
        <v>1223</v>
      </c>
      <c r="BD46" s="74" t="s">
        <v>1416</v>
      </c>
      <c r="BJ46" s="44">
        <v>2</v>
      </c>
      <c r="BK46" s="45">
        <v>66.66666666666667</v>
      </c>
      <c r="BL46" s="44">
        <v>0</v>
      </c>
      <c r="BM46" s="45">
        <v>0</v>
      </c>
      <c r="BN46" s="44">
        <v>0</v>
      </c>
      <c r="BO46" s="45">
        <v>0</v>
      </c>
      <c r="BP46" s="44">
        <v>1</v>
      </c>
      <c r="BQ46" s="45">
        <v>33.333333333333336</v>
      </c>
      <c r="BR46" s="44">
        <v>3</v>
      </c>
      <c r="BS46">
        <v>1</v>
      </c>
      <c r="BT46" s="112" t="str">
        <f>REPLACE(INDEX(GroupVertices[Group],MATCH("~"&amp;Edges37[[#This Row],[Vertex 1]],GroupVertices[Vertex],0)),1,1,"")</f>
        <v>6</v>
      </c>
      <c r="BU46" s="112" t="str">
        <f>REPLACE(INDEX(GroupVertices[Group],MATCH("~"&amp;Edges37[[#This Row],[Vertex 2]],GroupVertices[Vertex],0)),1,1,"")</f>
        <v>6</v>
      </c>
    </row>
    <row r="47" spans="1:73" ht="15">
      <c r="A47" s="59" t="s">
        <v>247</v>
      </c>
      <c r="B47" s="59" t="s">
        <v>359</v>
      </c>
      <c r="C47" s="60"/>
      <c r="D47" s="61"/>
      <c r="E47" s="62"/>
      <c r="F47" s="63"/>
      <c r="G47" s="60"/>
      <c r="H47" s="64"/>
      <c r="I47" s="65"/>
      <c r="J47" s="65"/>
      <c r="K47" s="30" t="s">
        <v>65</v>
      </c>
      <c r="L47" s="72">
        <v>49</v>
      </c>
      <c r="M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7" s="67"/>
      <c r="O47" t="s">
        <v>483</v>
      </c>
      <c r="P47" s="73">
        <v>44788.569710648146</v>
      </c>
      <c r="Q47" t="s">
        <v>529</v>
      </c>
      <c r="R47">
        <v>0</v>
      </c>
      <c r="S47">
        <v>1</v>
      </c>
      <c r="T47">
        <v>0</v>
      </c>
      <c r="U47">
        <v>0</v>
      </c>
      <c r="W47" s="74" t="s">
        <v>682</v>
      </c>
      <c r="Z47" t="s">
        <v>730</v>
      </c>
      <c r="AC47" s="74" t="s">
        <v>787</v>
      </c>
      <c r="AD47" t="s">
        <v>794</v>
      </c>
      <c r="AE47" s="75" t="str">
        <f>HYPERLINK("https://twitter.com/kurnia_awan85/status/1559173157486940160")</f>
        <v>https://twitter.com/kurnia_awan85/status/1559173157486940160</v>
      </c>
      <c r="AF47" s="73">
        <v>44788.569710648146</v>
      </c>
      <c r="AG47" s="77">
        <v>44788</v>
      </c>
      <c r="AH47" s="74" t="s">
        <v>843</v>
      </c>
      <c r="AV47" s="75" t="str">
        <f>HYPERLINK("https://pbs.twimg.com/profile_images/863710851441623042/rD9NF2It_normal.jpg")</f>
        <v>https://pbs.twimg.com/profile_images/863710851441623042/rD9NF2It_normal.jpg</v>
      </c>
      <c r="AW47" s="74" t="s">
        <v>1064</v>
      </c>
      <c r="AX47" s="74" t="s">
        <v>1253</v>
      </c>
      <c r="AY47" s="74" t="s">
        <v>1327</v>
      </c>
      <c r="AZ47" s="74" t="s">
        <v>1253</v>
      </c>
      <c r="BA47" s="74" t="s">
        <v>1384</v>
      </c>
      <c r="BB47" s="74" t="s">
        <v>1384</v>
      </c>
      <c r="BC47" s="74" t="s">
        <v>1253</v>
      </c>
      <c r="BD47" s="74" t="s">
        <v>1417</v>
      </c>
      <c r="BJ47" s="44">
        <v>2</v>
      </c>
      <c r="BK47" s="45">
        <v>7.407407407407407</v>
      </c>
      <c r="BL47" s="44">
        <v>2</v>
      </c>
      <c r="BM47" s="45">
        <v>7.407407407407407</v>
      </c>
      <c r="BN47" s="44">
        <v>0</v>
      </c>
      <c r="BO47" s="45">
        <v>0</v>
      </c>
      <c r="BP47" s="44">
        <v>23</v>
      </c>
      <c r="BQ47" s="45">
        <v>85.18518518518519</v>
      </c>
      <c r="BR47" s="44">
        <v>27</v>
      </c>
      <c r="BS47">
        <v>1</v>
      </c>
      <c r="BT47" s="112" t="str">
        <f>REPLACE(INDEX(GroupVertices[Group],MATCH("~"&amp;Edges37[[#This Row],[Vertex 1]],GroupVertices[Vertex],0)),1,1,"")</f>
        <v>4</v>
      </c>
      <c r="BU47" s="112" t="str">
        <f>REPLACE(INDEX(GroupVertices[Group],MATCH("~"&amp;Edges37[[#This Row],[Vertex 2]],GroupVertices[Vertex],0)),1,1,"")</f>
        <v>4</v>
      </c>
    </row>
    <row r="48" spans="1:73" ht="15">
      <c r="A48" s="59" t="s">
        <v>248</v>
      </c>
      <c r="B48" s="59" t="s">
        <v>248</v>
      </c>
      <c r="C48" s="60"/>
      <c r="D48" s="61"/>
      <c r="E48" s="62"/>
      <c r="F48" s="63"/>
      <c r="G48" s="60"/>
      <c r="H48" s="64"/>
      <c r="I48" s="65"/>
      <c r="J48" s="65"/>
      <c r="K48" s="30" t="s">
        <v>65</v>
      </c>
      <c r="L48" s="72">
        <v>51</v>
      </c>
      <c r="M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8" s="67"/>
      <c r="O48" t="s">
        <v>177</v>
      </c>
      <c r="P48" s="73">
        <v>44578.96266203704</v>
      </c>
      <c r="Q48" t="s">
        <v>530</v>
      </c>
      <c r="R48">
        <v>1</v>
      </c>
      <c r="S48">
        <v>3</v>
      </c>
      <c r="T48">
        <v>0</v>
      </c>
      <c r="U48">
        <v>0</v>
      </c>
      <c r="W48" s="74" t="s">
        <v>686</v>
      </c>
      <c r="X48" s="75" t="str">
        <f>HYPERLINK("https://news.detik.com/berita/d-5901725/mk-buka-kemungkinan-ubah-presidential-threshold-jadi-0-persen")</f>
        <v>https://news.detik.com/berita/d-5901725/mk-buka-kemungkinan-ubah-presidential-threshold-jadi-0-persen</v>
      </c>
      <c r="Y48" t="s">
        <v>712</v>
      </c>
      <c r="AC48" s="74" t="s">
        <v>787</v>
      </c>
      <c r="AD48" t="s">
        <v>794</v>
      </c>
      <c r="AE48" s="75" t="str">
        <f>HYPERLINK("https://twitter.com/salamdaivaj/status/1483214108732571650")</f>
        <v>https://twitter.com/salamdaivaj/status/1483214108732571650</v>
      </c>
      <c r="AF48" s="73">
        <v>44578.96266203704</v>
      </c>
      <c r="AG48" s="77">
        <v>44578</v>
      </c>
      <c r="AH48" s="74" t="s">
        <v>844</v>
      </c>
      <c r="AI48" t="b">
        <v>0</v>
      </c>
      <c r="AV48" s="75" t="str">
        <f>HYPERLINK("https://pbs.twimg.com/profile_images/1658664385441845250/OpjE5e8S_normal.jpg")</f>
        <v>https://pbs.twimg.com/profile_images/1658664385441845250/OpjE5e8S_normal.jpg</v>
      </c>
      <c r="AW48" s="74" t="s">
        <v>1065</v>
      </c>
      <c r="AX48" s="74" t="s">
        <v>1065</v>
      </c>
      <c r="AZ48" s="74" t="s">
        <v>1384</v>
      </c>
      <c r="BA48" s="74" t="s">
        <v>1384</v>
      </c>
      <c r="BB48" s="74" t="s">
        <v>1384</v>
      </c>
      <c r="BC48" s="74" t="s">
        <v>1065</v>
      </c>
      <c r="BD48" s="74" t="s">
        <v>1418</v>
      </c>
      <c r="BJ48" s="44">
        <v>5</v>
      </c>
      <c r="BK48" s="45">
        <v>16.129032258064516</v>
      </c>
      <c r="BL48" s="44">
        <v>1</v>
      </c>
      <c r="BM48" s="45">
        <v>3.225806451612903</v>
      </c>
      <c r="BN48" s="44">
        <v>0</v>
      </c>
      <c r="BO48" s="45">
        <v>0</v>
      </c>
      <c r="BP48" s="44">
        <v>25</v>
      </c>
      <c r="BQ48" s="45">
        <v>80.64516129032258</v>
      </c>
      <c r="BR48" s="44">
        <v>31</v>
      </c>
      <c r="BS48">
        <v>1</v>
      </c>
      <c r="BT48" s="112" t="str">
        <f>REPLACE(INDEX(GroupVertices[Group],MATCH("~"&amp;Edges37[[#This Row],[Vertex 1]],GroupVertices[Vertex],0)),1,1,"")</f>
        <v>41</v>
      </c>
      <c r="BU48" s="112" t="str">
        <f>REPLACE(INDEX(GroupVertices[Group],MATCH("~"&amp;Edges37[[#This Row],[Vertex 2]],GroupVertices[Vertex],0)),1,1,"")</f>
        <v>41</v>
      </c>
    </row>
    <row r="49" spans="1:73" ht="15">
      <c r="A49" s="59" t="s">
        <v>248</v>
      </c>
      <c r="B49" s="59" t="s">
        <v>281</v>
      </c>
      <c r="C49" s="60"/>
      <c r="D49" s="61"/>
      <c r="E49" s="62"/>
      <c r="F49" s="63"/>
      <c r="G49" s="60"/>
      <c r="H49" s="64"/>
      <c r="I49" s="65"/>
      <c r="J49" s="65"/>
      <c r="K49" s="30" t="s">
        <v>65</v>
      </c>
      <c r="L49" s="72">
        <v>52</v>
      </c>
      <c r="M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9" s="67"/>
      <c r="O49" t="s">
        <v>484</v>
      </c>
      <c r="P49" s="73">
        <v>44587.46628472222</v>
      </c>
      <c r="Q49" t="s">
        <v>531</v>
      </c>
      <c r="R49">
        <v>0</v>
      </c>
      <c r="S49">
        <v>2</v>
      </c>
      <c r="T49">
        <v>0</v>
      </c>
      <c r="U49">
        <v>0</v>
      </c>
      <c r="AC49" s="74" t="s">
        <v>787</v>
      </c>
      <c r="AD49" t="s">
        <v>794</v>
      </c>
      <c r="AE49" s="75" t="str">
        <f>HYPERLINK("https://twitter.com/salamdaivaj/status/1486295718084354051")</f>
        <v>https://twitter.com/salamdaivaj/status/1486295718084354051</v>
      </c>
      <c r="AF49" s="73">
        <v>44587.46628472222</v>
      </c>
      <c r="AG49" s="77">
        <v>44587</v>
      </c>
      <c r="AH49" s="74" t="s">
        <v>845</v>
      </c>
      <c r="AV49" s="75" t="str">
        <f>HYPERLINK("https://pbs.twimg.com/profile_images/1658664385441845250/OpjE5e8S_normal.jpg")</f>
        <v>https://pbs.twimg.com/profile_images/1658664385441845250/OpjE5e8S_normal.jpg</v>
      </c>
      <c r="AW49" s="74" t="s">
        <v>1066</v>
      </c>
      <c r="AX49" s="74" t="s">
        <v>1066</v>
      </c>
      <c r="AZ49" s="74" t="s">
        <v>1384</v>
      </c>
      <c r="BA49" s="74" t="s">
        <v>1122</v>
      </c>
      <c r="BB49" s="74" t="s">
        <v>1384</v>
      </c>
      <c r="BC49" s="74" t="s">
        <v>1122</v>
      </c>
      <c r="BD49" s="74" t="s">
        <v>1418</v>
      </c>
      <c r="BJ49" s="44">
        <v>3</v>
      </c>
      <c r="BK49" s="45">
        <v>42.857142857142854</v>
      </c>
      <c r="BL49" s="44">
        <v>0</v>
      </c>
      <c r="BM49" s="45">
        <v>0</v>
      </c>
      <c r="BN49" s="44">
        <v>0</v>
      </c>
      <c r="BO49" s="45">
        <v>0</v>
      </c>
      <c r="BP49" s="44">
        <v>4</v>
      </c>
      <c r="BQ49" s="45">
        <v>57.142857142857146</v>
      </c>
      <c r="BR49" s="44">
        <v>7</v>
      </c>
      <c r="BS49">
        <v>1</v>
      </c>
      <c r="BT49" s="112" t="str">
        <f>REPLACE(INDEX(GroupVertices[Group],MATCH("~"&amp;Edges37[[#This Row],[Vertex 1]],GroupVertices[Vertex],0)),1,1,"")</f>
        <v>41</v>
      </c>
      <c r="BU49" s="112" t="str">
        <f>REPLACE(INDEX(GroupVertices[Group],MATCH("~"&amp;Edges37[[#This Row],[Vertex 2]],GroupVertices[Vertex],0)),1,1,"")</f>
        <v>41</v>
      </c>
    </row>
    <row r="50" spans="1:73" ht="15">
      <c r="A50" s="59" t="s">
        <v>249</v>
      </c>
      <c r="B50" s="59" t="s">
        <v>360</v>
      </c>
      <c r="C50" s="60"/>
      <c r="D50" s="61"/>
      <c r="E50" s="62"/>
      <c r="F50" s="63"/>
      <c r="G50" s="60"/>
      <c r="H50" s="64"/>
      <c r="I50" s="65"/>
      <c r="J50" s="65"/>
      <c r="K50" s="30" t="s">
        <v>65</v>
      </c>
      <c r="L50" s="72">
        <v>53</v>
      </c>
      <c r="M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0" s="67"/>
      <c r="O50" t="s">
        <v>482</v>
      </c>
      <c r="P50" s="73">
        <v>44833.904490740744</v>
      </c>
      <c r="Q50" t="s">
        <v>532</v>
      </c>
      <c r="R50">
        <v>0</v>
      </c>
      <c r="S50">
        <v>0</v>
      </c>
      <c r="T50">
        <v>0</v>
      </c>
      <c r="U50">
        <v>0</v>
      </c>
      <c r="W50" s="74" t="s">
        <v>687</v>
      </c>
      <c r="Z50" t="s">
        <v>360</v>
      </c>
      <c r="AC50" s="74" t="s">
        <v>787</v>
      </c>
      <c r="AD50" t="s">
        <v>794</v>
      </c>
      <c r="AE50" s="75" t="str">
        <f>HYPERLINK("https://twitter.com/harianto_zanuar/status/1575601931820576768")</f>
        <v>https://twitter.com/harianto_zanuar/status/1575601931820576768</v>
      </c>
      <c r="AF50" s="73">
        <v>44833.904490740744</v>
      </c>
      <c r="AG50" s="77">
        <v>44833</v>
      </c>
      <c r="AH50" s="74" t="s">
        <v>846</v>
      </c>
      <c r="AV50" s="75" t="str">
        <f>HYPERLINK("https://pbs.twimg.com/profile_images/1575596889302437889/b83mKM9D_normal.jpg")</f>
        <v>https://pbs.twimg.com/profile_images/1575596889302437889/b83mKM9D_normal.jpg</v>
      </c>
      <c r="AW50" s="74" t="s">
        <v>1067</v>
      </c>
      <c r="AX50" s="74" t="s">
        <v>1254</v>
      </c>
      <c r="AY50" s="74" t="s">
        <v>1336</v>
      </c>
      <c r="AZ50" s="74" t="s">
        <v>1254</v>
      </c>
      <c r="BA50" s="74" t="s">
        <v>1384</v>
      </c>
      <c r="BB50" s="74" t="s">
        <v>1384</v>
      </c>
      <c r="BC50" s="74" t="s">
        <v>1254</v>
      </c>
      <c r="BD50" s="74" t="s">
        <v>1419</v>
      </c>
      <c r="BJ50" s="44">
        <v>1</v>
      </c>
      <c r="BK50" s="45">
        <v>4.3478260869565215</v>
      </c>
      <c r="BL50" s="44">
        <v>0</v>
      </c>
      <c r="BM50" s="45">
        <v>0</v>
      </c>
      <c r="BN50" s="44">
        <v>0</v>
      </c>
      <c r="BO50" s="45">
        <v>0</v>
      </c>
      <c r="BP50" s="44">
        <v>22</v>
      </c>
      <c r="BQ50" s="45">
        <v>95.65217391304348</v>
      </c>
      <c r="BR50" s="44">
        <v>23</v>
      </c>
      <c r="BS50">
        <v>1</v>
      </c>
      <c r="BT50" s="112" t="str">
        <f>REPLACE(INDEX(GroupVertices[Group],MATCH("~"&amp;Edges37[[#This Row],[Vertex 1]],GroupVertices[Vertex],0)),1,1,"")</f>
        <v>16</v>
      </c>
      <c r="BU50" s="112" t="str">
        <f>REPLACE(INDEX(GroupVertices[Group],MATCH("~"&amp;Edges37[[#This Row],[Vertex 2]],GroupVertices[Vertex],0)),1,1,"")</f>
        <v>16</v>
      </c>
    </row>
    <row r="51" spans="1:73" ht="15">
      <c r="A51" s="59" t="s">
        <v>249</v>
      </c>
      <c r="B51" s="59" t="s">
        <v>345</v>
      </c>
      <c r="C51" s="60"/>
      <c r="D51" s="61"/>
      <c r="E51" s="62"/>
      <c r="F51" s="63"/>
      <c r="G51" s="60"/>
      <c r="H51" s="64"/>
      <c r="I51" s="65"/>
      <c r="J51" s="65"/>
      <c r="K51" s="30" t="s">
        <v>65</v>
      </c>
      <c r="L51" s="72">
        <v>54</v>
      </c>
      <c r="M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1" s="67"/>
      <c r="O51" t="s">
        <v>482</v>
      </c>
      <c r="P51" s="73">
        <v>44833.89922453704</v>
      </c>
      <c r="Q51" t="s">
        <v>533</v>
      </c>
      <c r="R51">
        <v>0</v>
      </c>
      <c r="S51">
        <v>1</v>
      </c>
      <c r="T51">
        <v>0</v>
      </c>
      <c r="U51">
        <v>0</v>
      </c>
      <c r="W51" s="74" t="s">
        <v>682</v>
      </c>
      <c r="Z51" t="s">
        <v>345</v>
      </c>
      <c r="AC51" s="74" t="s">
        <v>787</v>
      </c>
      <c r="AD51" t="s">
        <v>794</v>
      </c>
      <c r="AE51" s="75" t="str">
        <f>HYPERLINK("https://twitter.com/harianto_zanuar/status/1575600022711726080")</f>
        <v>https://twitter.com/harianto_zanuar/status/1575600022711726080</v>
      </c>
      <c r="AF51" s="73">
        <v>44833.89922453704</v>
      </c>
      <c r="AG51" s="77">
        <v>44833</v>
      </c>
      <c r="AH51" s="74" t="s">
        <v>847</v>
      </c>
      <c r="AV51" s="75" t="str">
        <f>HYPERLINK("https://pbs.twimg.com/profile_images/1575596889302437889/b83mKM9D_normal.jpg")</f>
        <v>https://pbs.twimg.com/profile_images/1575596889302437889/b83mKM9D_normal.jpg</v>
      </c>
      <c r="AW51" s="74" t="s">
        <v>1068</v>
      </c>
      <c r="AX51" s="74" t="s">
        <v>1255</v>
      </c>
      <c r="AY51" s="74" t="s">
        <v>1313</v>
      </c>
      <c r="AZ51" s="74" t="s">
        <v>1255</v>
      </c>
      <c r="BA51" s="74" t="s">
        <v>1384</v>
      </c>
      <c r="BB51" s="74" t="s">
        <v>1384</v>
      </c>
      <c r="BC51" s="74" t="s">
        <v>1255</v>
      </c>
      <c r="BD51" s="74" t="s">
        <v>1419</v>
      </c>
      <c r="BJ51" s="44">
        <v>2</v>
      </c>
      <c r="BK51" s="45">
        <v>18.181818181818183</v>
      </c>
      <c r="BL51" s="44">
        <v>0</v>
      </c>
      <c r="BM51" s="45">
        <v>0</v>
      </c>
      <c r="BN51" s="44">
        <v>0</v>
      </c>
      <c r="BO51" s="45">
        <v>0</v>
      </c>
      <c r="BP51" s="44">
        <v>9</v>
      </c>
      <c r="BQ51" s="45">
        <v>81.81818181818181</v>
      </c>
      <c r="BR51" s="44">
        <v>11</v>
      </c>
      <c r="BS51">
        <v>8</v>
      </c>
      <c r="BT51" s="112" t="str">
        <f>REPLACE(INDEX(GroupVertices[Group],MATCH("~"&amp;Edges37[[#This Row],[Vertex 1]],GroupVertices[Vertex],0)),1,1,"")</f>
        <v>16</v>
      </c>
      <c r="BU51" s="112" t="str">
        <f>REPLACE(INDEX(GroupVertices[Group],MATCH("~"&amp;Edges37[[#This Row],[Vertex 2]],GroupVertices[Vertex],0)),1,1,"")</f>
        <v>16</v>
      </c>
    </row>
    <row r="52" spans="1:73" ht="15">
      <c r="A52" s="59" t="s">
        <v>249</v>
      </c>
      <c r="B52" s="59" t="s">
        <v>361</v>
      </c>
      <c r="C52" s="60"/>
      <c r="D52" s="61"/>
      <c r="E52" s="62"/>
      <c r="F52" s="63"/>
      <c r="G52" s="60"/>
      <c r="H52" s="64"/>
      <c r="I52" s="65"/>
      <c r="J52" s="65"/>
      <c r="K52" s="30" t="s">
        <v>65</v>
      </c>
      <c r="L52" s="72">
        <v>55</v>
      </c>
      <c r="M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2" s="67"/>
      <c r="O52" t="s">
        <v>482</v>
      </c>
      <c r="P52" s="73">
        <v>44833.9171875</v>
      </c>
      <c r="Q52" t="s">
        <v>534</v>
      </c>
      <c r="R52">
        <v>0</v>
      </c>
      <c r="S52">
        <v>0</v>
      </c>
      <c r="T52">
        <v>0</v>
      </c>
      <c r="U52">
        <v>0</v>
      </c>
      <c r="W52" s="74" t="s">
        <v>682</v>
      </c>
      <c r="Z52" t="s">
        <v>361</v>
      </c>
      <c r="AC52" s="74" t="s">
        <v>787</v>
      </c>
      <c r="AD52" t="s">
        <v>794</v>
      </c>
      <c r="AE52" s="75" t="str">
        <f>HYPERLINK("https://twitter.com/harianto_zanuar/status/1575606534163136512")</f>
        <v>https://twitter.com/harianto_zanuar/status/1575606534163136512</v>
      </c>
      <c r="AF52" s="73">
        <v>44833.9171875</v>
      </c>
      <c r="AG52" s="77">
        <v>44833</v>
      </c>
      <c r="AH52" s="74" t="s">
        <v>848</v>
      </c>
      <c r="AV52" s="75" t="str">
        <f>HYPERLINK("https://pbs.twimg.com/profile_images/1575596889302437889/b83mKM9D_normal.jpg")</f>
        <v>https://pbs.twimg.com/profile_images/1575596889302437889/b83mKM9D_normal.jpg</v>
      </c>
      <c r="AW52" s="74" t="s">
        <v>1069</v>
      </c>
      <c r="AX52" s="74" t="s">
        <v>1256</v>
      </c>
      <c r="AY52" s="74" t="s">
        <v>1337</v>
      </c>
      <c r="AZ52" s="74" t="s">
        <v>1256</v>
      </c>
      <c r="BA52" s="74" t="s">
        <v>1384</v>
      </c>
      <c r="BB52" s="74" t="s">
        <v>1384</v>
      </c>
      <c r="BC52" s="74" t="s">
        <v>1256</v>
      </c>
      <c r="BD52" s="74" t="s">
        <v>1419</v>
      </c>
      <c r="BJ52" s="44">
        <v>0</v>
      </c>
      <c r="BK52" s="45">
        <v>0</v>
      </c>
      <c r="BL52" s="44">
        <v>1</v>
      </c>
      <c r="BM52" s="45">
        <v>12.5</v>
      </c>
      <c r="BN52" s="44">
        <v>0</v>
      </c>
      <c r="BO52" s="45">
        <v>0</v>
      </c>
      <c r="BP52" s="44">
        <v>7</v>
      </c>
      <c r="BQ52" s="45">
        <v>87.5</v>
      </c>
      <c r="BR52" s="44">
        <v>8</v>
      </c>
      <c r="BS52">
        <v>1</v>
      </c>
      <c r="BT52" s="112" t="str">
        <f>REPLACE(INDEX(GroupVertices[Group],MATCH("~"&amp;Edges37[[#This Row],[Vertex 1]],GroupVertices[Vertex],0)),1,1,"")</f>
        <v>16</v>
      </c>
      <c r="BU52" s="112" t="str">
        <f>REPLACE(INDEX(GroupVertices[Group],MATCH("~"&amp;Edges37[[#This Row],[Vertex 2]],GroupVertices[Vertex],0)),1,1,"")</f>
        <v>16</v>
      </c>
    </row>
    <row r="53" spans="1:73" ht="15">
      <c r="A53" s="59" t="s">
        <v>250</v>
      </c>
      <c r="B53" s="59" t="s">
        <v>362</v>
      </c>
      <c r="C53" s="60"/>
      <c r="D53" s="61"/>
      <c r="E53" s="62"/>
      <c r="F53" s="63"/>
      <c r="G53" s="60"/>
      <c r="H53" s="64"/>
      <c r="I53" s="65"/>
      <c r="J53" s="65"/>
      <c r="K53" s="30" t="s">
        <v>65</v>
      </c>
      <c r="L53" s="72">
        <v>56</v>
      </c>
      <c r="M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3" s="67"/>
      <c r="O53" t="s">
        <v>482</v>
      </c>
      <c r="P53" s="73">
        <v>44571.546111111114</v>
      </c>
      <c r="Q53" t="s">
        <v>535</v>
      </c>
      <c r="R53">
        <v>0</v>
      </c>
      <c r="S53">
        <v>0</v>
      </c>
      <c r="T53">
        <v>0</v>
      </c>
      <c r="U53">
        <v>0</v>
      </c>
      <c r="Z53" t="s">
        <v>362</v>
      </c>
      <c r="AC53" s="74" t="s">
        <v>787</v>
      </c>
      <c r="AD53" t="s">
        <v>794</v>
      </c>
      <c r="AE53" s="75" t="str">
        <f>HYPERLINK("https://twitter.com/fachniadin/status/1480526440458117127")</f>
        <v>https://twitter.com/fachniadin/status/1480526440458117127</v>
      </c>
      <c r="AF53" s="73">
        <v>44571.546111111114</v>
      </c>
      <c r="AG53" s="77">
        <v>44571</v>
      </c>
      <c r="AH53" s="74" t="s">
        <v>849</v>
      </c>
      <c r="AV53" s="75" t="str">
        <f>HYPERLINK("https://pbs.twimg.com/profile_images/1470910063833325571/6cmTQS5x_normal.jpg")</f>
        <v>https://pbs.twimg.com/profile_images/1470910063833325571/6cmTQS5x_normal.jpg</v>
      </c>
      <c r="AW53" s="74" t="s">
        <v>1070</v>
      </c>
      <c r="AX53" s="74" t="s">
        <v>1257</v>
      </c>
      <c r="AY53" s="74" t="s">
        <v>1338</v>
      </c>
      <c r="AZ53" s="74" t="s">
        <v>1257</v>
      </c>
      <c r="BA53" s="74" t="s">
        <v>1384</v>
      </c>
      <c r="BB53" s="74" t="s">
        <v>1384</v>
      </c>
      <c r="BC53" s="74" t="s">
        <v>1257</v>
      </c>
      <c r="BD53" s="74" t="s">
        <v>1420</v>
      </c>
      <c r="BJ53" s="44">
        <v>3</v>
      </c>
      <c r="BK53" s="45">
        <v>23.076923076923077</v>
      </c>
      <c r="BL53" s="44">
        <v>0</v>
      </c>
      <c r="BM53" s="45">
        <v>0</v>
      </c>
      <c r="BN53" s="44">
        <v>0</v>
      </c>
      <c r="BO53" s="45">
        <v>0</v>
      </c>
      <c r="BP53" s="44">
        <v>10</v>
      </c>
      <c r="BQ53" s="45">
        <v>76.92307692307692</v>
      </c>
      <c r="BR53" s="44">
        <v>13</v>
      </c>
      <c r="BS53">
        <v>1</v>
      </c>
      <c r="BT53" s="112" t="str">
        <f>REPLACE(INDEX(GroupVertices[Group],MATCH("~"&amp;Edges37[[#This Row],[Vertex 1]],GroupVertices[Vertex],0)),1,1,"")</f>
        <v>7</v>
      </c>
      <c r="BU53" s="112" t="str">
        <f>REPLACE(INDEX(GroupVertices[Group],MATCH("~"&amp;Edges37[[#This Row],[Vertex 2]],GroupVertices[Vertex],0)),1,1,"")</f>
        <v>7</v>
      </c>
    </row>
    <row r="54" spans="1:73" ht="15">
      <c r="A54" s="59" t="s">
        <v>250</v>
      </c>
      <c r="B54" s="59" t="s">
        <v>363</v>
      </c>
      <c r="C54" s="60"/>
      <c r="D54" s="61"/>
      <c r="E54" s="62"/>
      <c r="F54" s="63"/>
      <c r="G54" s="60"/>
      <c r="H54" s="64"/>
      <c r="I54" s="65"/>
      <c r="J54" s="65"/>
      <c r="K54" s="30" t="s">
        <v>65</v>
      </c>
      <c r="L54" s="72">
        <v>57</v>
      </c>
      <c r="M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4" s="67"/>
      <c r="O54" t="s">
        <v>482</v>
      </c>
      <c r="P54" s="73">
        <v>44571.450532407405</v>
      </c>
      <c r="Q54" t="s">
        <v>536</v>
      </c>
      <c r="R54">
        <v>0</v>
      </c>
      <c r="S54">
        <v>0</v>
      </c>
      <c r="T54">
        <v>0</v>
      </c>
      <c r="U54">
        <v>0</v>
      </c>
      <c r="Z54" t="s">
        <v>731</v>
      </c>
      <c r="AC54" s="74" t="s">
        <v>787</v>
      </c>
      <c r="AD54" t="s">
        <v>794</v>
      </c>
      <c r="AE54" s="75" t="str">
        <f>HYPERLINK("https://twitter.com/fachniadin/status/1480491802117345282")</f>
        <v>https://twitter.com/fachniadin/status/1480491802117345282</v>
      </c>
      <c r="AF54" s="73">
        <v>44571.450532407405</v>
      </c>
      <c r="AG54" s="77">
        <v>44571</v>
      </c>
      <c r="AH54" s="74" t="s">
        <v>850</v>
      </c>
      <c r="AV54" s="75" t="str">
        <f>HYPERLINK("https://pbs.twimg.com/profile_images/1470910063833325571/6cmTQS5x_normal.jpg")</f>
        <v>https://pbs.twimg.com/profile_images/1470910063833325571/6cmTQS5x_normal.jpg</v>
      </c>
      <c r="AW54" s="74" t="s">
        <v>1071</v>
      </c>
      <c r="AX54" s="74" t="s">
        <v>1258</v>
      </c>
      <c r="AY54" s="74" t="s">
        <v>1339</v>
      </c>
      <c r="AZ54" s="74" t="s">
        <v>1389</v>
      </c>
      <c r="BA54" s="74" t="s">
        <v>1384</v>
      </c>
      <c r="BB54" s="74" t="s">
        <v>1384</v>
      </c>
      <c r="BC54" s="74" t="s">
        <v>1389</v>
      </c>
      <c r="BD54" s="74" t="s">
        <v>1420</v>
      </c>
      <c r="BJ54" s="44">
        <v>10</v>
      </c>
      <c r="BK54" s="45">
        <v>23.25581395348837</v>
      </c>
      <c r="BL54" s="44">
        <v>2</v>
      </c>
      <c r="BM54" s="45">
        <v>4.651162790697675</v>
      </c>
      <c r="BN54" s="44">
        <v>0</v>
      </c>
      <c r="BO54" s="45">
        <v>0</v>
      </c>
      <c r="BP54" s="44">
        <v>31</v>
      </c>
      <c r="BQ54" s="45">
        <v>72.09302325581395</v>
      </c>
      <c r="BR54" s="44">
        <v>43</v>
      </c>
      <c r="BS54">
        <v>1</v>
      </c>
      <c r="BT54" s="112" t="str">
        <f>REPLACE(INDEX(GroupVertices[Group],MATCH("~"&amp;Edges37[[#This Row],[Vertex 1]],GroupVertices[Vertex],0)),1,1,"")</f>
        <v>7</v>
      </c>
      <c r="BU54" s="112" t="str">
        <f>REPLACE(INDEX(GroupVertices[Group],MATCH("~"&amp;Edges37[[#This Row],[Vertex 2]],GroupVertices[Vertex],0)),1,1,"")</f>
        <v>7</v>
      </c>
    </row>
    <row r="55" spans="1:73" ht="15">
      <c r="A55" s="59" t="s">
        <v>250</v>
      </c>
      <c r="B55" s="59" t="s">
        <v>364</v>
      </c>
      <c r="C55" s="60"/>
      <c r="D55" s="61"/>
      <c r="E55" s="62"/>
      <c r="F55" s="63"/>
      <c r="G55" s="60"/>
      <c r="H55" s="64"/>
      <c r="I55" s="65"/>
      <c r="J55" s="65"/>
      <c r="K55" s="30" t="s">
        <v>65</v>
      </c>
      <c r="L55" s="72">
        <v>58</v>
      </c>
      <c r="M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5" s="67"/>
      <c r="O55" t="s">
        <v>483</v>
      </c>
      <c r="P55" s="73">
        <v>44574.05462962963</v>
      </c>
      <c r="Q55" t="s">
        <v>537</v>
      </c>
      <c r="R55">
        <v>0</v>
      </c>
      <c r="S55">
        <v>0</v>
      </c>
      <c r="T55">
        <v>0</v>
      </c>
      <c r="U55">
        <v>0</v>
      </c>
      <c r="Z55" t="s">
        <v>732</v>
      </c>
      <c r="AA55" t="s">
        <v>765</v>
      </c>
      <c r="AB55" t="s">
        <v>783</v>
      </c>
      <c r="AC55" s="74" t="s">
        <v>787</v>
      </c>
      <c r="AD55" t="s">
        <v>794</v>
      </c>
      <c r="AE55" s="75" t="str">
        <f>HYPERLINK("https://twitter.com/fachniadin/status/1481435495096012800")</f>
        <v>https://twitter.com/fachniadin/status/1481435495096012800</v>
      </c>
      <c r="AF55" s="73">
        <v>44574.05462962963</v>
      </c>
      <c r="AG55" s="77">
        <v>44574</v>
      </c>
      <c r="AH55" s="74" t="s">
        <v>851</v>
      </c>
      <c r="AI55" t="b">
        <v>0</v>
      </c>
      <c r="AQ55" t="s">
        <v>1003</v>
      </c>
      <c r="AV55" s="75" t="str">
        <f>HYPERLINK("https://pbs.twimg.com/media/FI8dudsaQAINFvL.jpg")</f>
        <v>https://pbs.twimg.com/media/FI8dudsaQAINFvL.jpg</v>
      </c>
      <c r="AW55" s="74" t="s">
        <v>1072</v>
      </c>
      <c r="AX55" s="74" t="s">
        <v>1259</v>
      </c>
      <c r="AY55" s="74" t="s">
        <v>1340</v>
      </c>
      <c r="AZ55" s="74" t="s">
        <v>1259</v>
      </c>
      <c r="BA55" s="74" t="s">
        <v>1384</v>
      </c>
      <c r="BB55" s="74" t="s">
        <v>1384</v>
      </c>
      <c r="BC55" s="74" t="s">
        <v>1259</v>
      </c>
      <c r="BD55" s="74" t="s">
        <v>1420</v>
      </c>
      <c r="BJ55" s="44"/>
      <c r="BK55" s="45"/>
      <c r="BL55" s="44"/>
      <c r="BM55" s="45"/>
      <c r="BN55" s="44"/>
      <c r="BO55" s="45"/>
      <c r="BP55" s="44"/>
      <c r="BQ55" s="45"/>
      <c r="BR55" s="44"/>
      <c r="BS55">
        <v>1</v>
      </c>
      <c r="BT55" s="112" t="str">
        <f>REPLACE(INDEX(GroupVertices[Group],MATCH("~"&amp;Edges37[[#This Row],[Vertex 1]],GroupVertices[Vertex],0)),1,1,"")</f>
        <v>7</v>
      </c>
      <c r="BU55" s="112" t="str">
        <f>REPLACE(INDEX(GroupVertices[Group],MATCH("~"&amp;Edges37[[#This Row],[Vertex 2]],GroupVertices[Vertex],0)),1,1,"")</f>
        <v>7</v>
      </c>
    </row>
    <row r="56" spans="1:73" ht="15">
      <c r="A56" s="59" t="s">
        <v>250</v>
      </c>
      <c r="B56" s="59" t="s">
        <v>371</v>
      </c>
      <c r="C56" s="60"/>
      <c r="D56" s="61"/>
      <c r="E56" s="62"/>
      <c r="F56" s="63"/>
      <c r="G56" s="60"/>
      <c r="H56" s="64"/>
      <c r="I56" s="65"/>
      <c r="J56" s="65"/>
      <c r="K56" s="30" t="s">
        <v>65</v>
      </c>
      <c r="L56" s="72">
        <v>65</v>
      </c>
      <c r="M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6" s="67"/>
      <c r="O56" t="s">
        <v>482</v>
      </c>
      <c r="P56" s="73">
        <v>44566.25599537037</v>
      </c>
      <c r="Q56" t="s">
        <v>538</v>
      </c>
      <c r="R56">
        <v>0</v>
      </c>
      <c r="S56">
        <v>0</v>
      </c>
      <c r="T56">
        <v>0</v>
      </c>
      <c r="U56">
        <v>0</v>
      </c>
      <c r="Z56" t="s">
        <v>371</v>
      </c>
      <c r="AA56" t="s">
        <v>766</v>
      </c>
      <c r="AB56" t="s">
        <v>783</v>
      </c>
      <c r="AC56" s="74" t="s">
        <v>787</v>
      </c>
      <c r="AD56" t="s">
        <v>794</v>
      </c>
      <c r="AE56" s="75" t="str">
        <f>HYPERLINK("https://twitter.com/fachniadin/status/1478609366001405954")</f>
        <v>https://twitter.com/fachniadin/status/1478609366001405954</v>
      </c>
      <c r="AF56" s="73">
        <v>44566.25599537037</v>
      </c>
      <c r="AG56" s="77">
        <v>44566</v>
      </c>
      <c r="AH56" s="74" t="s">
        <v>852</v>
      </c>
      <c r="AI56" t="b">
        <v>0</v>
      </c>
      <c r="AQ56" t="s">
        <v>1004</v>
      </c>
      <c r="AV56" s="75" t="str">
        <f>HYPERLINK("https://pbs.twimg.com/media/FIUTYIXVEAAsCfu.jpg")</f>
        <v>https://pbs.twimg.com/media/FIUTYIXVEAAsCfu.jpg</v>
      </c>
      <c r="AW56" s="74" t="s">
        <v>1073</v>
      </c>
      <c r="AX56" s="74" t="s">
        <v>1260</v>
      </c>
      <c r="AY56" s="74" t="s">
        <v>1340</v>
      </c>
      <c r="AZ56" s="74" t="s">
        <v>1260</v>
      </c>
      <c r="BA56" s="74" t="s">
        <v>1384</v>
      </c>
      <c r="BB56" s="74" t="s">
        <v>1384</v>
      </c>
      <c r="BC56" s="74" t="s">
        <v>1260</v>
      </c>
      <c r="BD56" s="74" t="s">
        <v>1420</v>
      </c>
      <c r="BJ56" s="44">
        <v>4</v>
      </c>
      <c r="BK56" s="45">
        <v>36.36363636363637</v>
      </c>
      <c r="BL56" s="44">
        <v>0</v>
      </c>
      <c r="BM56" s="45">
        <v>0</v>
      </c>
      <c r="BN56" s="44">
        <v>0</v>
      </c>
      <c r="BO56" s="45">
        <v>0</v>
      </c>
      <c r="BP56" s="44">
        <v>7</v>
      </c>
      <c r="BQ56" s="45">
        <v>63.63636363636363</v>
      </c>
      <c r="BR56" s="44">
        <v>11</v>
      </c>
      <c r="BS56">
        <v>8</v>
      </c>
      <c r="BT56" s="112" t="str">
        <f>REPLACE(INDEX(GroupVertices[Group],MATCH("~"&amp;Edges37[[#This Row],[Vertex 1]],GroupVertices[Vertex],0)),1,1,"")</f>
        <v>7</v>
      </c>
      <c r="BU56" s="112" t="str">
        <f>REPLACE(INDEX(GroupVertices[Group],MATCH("~"&amp;Edges37[[#This Row],[Vertex 2]],GroupVertices[Vertex],0)),1,1,"")</f>
        <v>7</v>
      </c>
    </row>
    <row r="57" spans="1:73" ht="15">
      <c r="A57" s="59" t="s">
        <v>251</v>
      </c>
      <c r="B57" s="59" t="s">
        <v>318</v>
      </c>
      <c r="C57" s="60"/>
      <c r="D57" s="61"/>
      <c r="E57" s="62"/>
      <c r="F57" s="63"/>
      <c r="G57" s="60"/>
      <c r="H57" s="64"/>
      <c r="I57" s="65"/>
      <c r="J57" s="65"/>
      <c r="K57" s="30" t="s">
        <v>65</v>
      </c>
      <c r="L57" s="72">
        <v>66</v>
      </c>
      <c r="M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7" s="67"/>
      <c r="O57" t="s">
        <v>482</v>
      </c>
      <c r="P57" s="73">
        <v>44568.08699074074</v>
      </c>
      <c r="Q57" t="s">
        <v>539</v>
      </c>
      <c r="R57">
        <v>0</v>
      </c>
      <c r="S57">
        <v>0</v>
      </c>
      <c r="T57">
        <v>0</v>
      </c>
      <c r="U57">
        <v>0</v>
      </c>
      <c r="W57" s="74" t="s">
        <v>682</v>
      </c>
      <c r="Z57" t="s">
        <v>318</v>
      </c>
      <c r="AC57" s="74" t="s">
        <v>787</v>
      </c>
      <c r="AD57" t="s">
        <v>798</v>
      </c>
      <c r="AE57" s="75" t="str">
        <f>HYPERLINK("https://twitter.com/umiyati70812108/status/1479272896304353283")</f>
        <v>https://twitter.com/umiyati70812108/status/1479272896304353283</v>
      </c>
      <c r="AF57" s="73">
        <v>44568.08699074074</v>
      </c>
      <c r="AG57" s="77">
        <v>44568</v>
      </c>
      <c r="AH57" s="74" t="s">
        <v>853</v>
      </c>
      <c r="AV57" s="75" t="str">
        <f>HYPERLINK("https://abs.twimg.com/sticky/default_profile_images/default_profile_normal.png")</f>
        <v>https://abs.twimg.com/sticky/default_profile_images/default_profile_normal.png</v>
      </c>
      <c r="AW57" s="74" t="s">
        <v>1074</v>
      </c>
      <c r="AX57" s="74" t="s">
        <v>1179</v>
      </c>
      <c r="AY57" s="74" t="s">
        <v>1334</v>
      </c>
      <c r="AZ57" s="74" t="s">
        <v>1179</v>
      </c>
      <c r="BA57" s="74" t="s">
        <v>1384</v>
      </c>
      <c r="BB57" s="74" t="s">
        <v>1384</v>
      </c>
      <c r="BC57" s="74" t="s">
        <v>1179</v>
      </c>
      <c r="BD57" s="74" t="s">
        <v>1421</v>
      </c>
      <c r="BJ57" s="44">
        <v>0</v>
      </c>
      <c r="BK57" s="45">
        <v>0</v>
      </c>
      <c r="BL57" s="44">
        <v>0</v>
      </c>
      <c r="BM57" s="45">
        <v>0</v>
      </c>
      <c r="BN57" s="44">
        <v>0</v>
      </c>
      <c r="BO57" s="45">
        <v>0</v>
      </c>
      <c r="BP57" s="44">
        <v>2</v>
      </c>
      <c r="BQ57" s="45">
        <v>100</v>
      </c>
      <c r="BR57" s="44">
        <v>2</v>
      </c>
      <c r="BS57">
        <v>1</v>
      </c>
      <c r="BT57" s="112" t="str">
        <f>REPLACE(INDEX(GroupVertices[Group],MATCH("~"&amp;Edges37[[#This Row],[Vertex 1]],GroupVertices[Vertex],0)),1,1,"")</f>
        <v>9</v>
      </c>
      <c r="BU57" s="112" t="str">
        <f>REPLACE(INDEX(GroupVertices[Group],MATCH("~"&amp;Edges37[[#This Row],[Vertex 2]],GroupVertices[Vertex],0)),1,1,"")</f>
        <v>9</v>
      </c>
    </row>
    <row r="58" spans="1:73" ht="15">
      <c r="A58" s="59" t="s">
        <v>252</v>
      </c>
      <c r="B58" s="59" t="s">
        <v>314</v>
      </c>
      <c r="C58" s="60"/>
      <c r="D58" s="61"/>
      <c r="E58" s="62"/>
      <c r="F58" s="63"/>
      <c r="G58" s="60"/>
      <c r="H58" s="64"/>
      <c r="I58" s="65"/>
      <c r="J58" s="65"/>
      <c r="K58" s="30" t="s">
        <v>65</v>
      </c>
      <c r="L58" s="72">
        <v>67</v>
      </c>
      <c r="M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8" s="67"/>
      <c r="O58" t="s">
        <v>482</v>
      </c>
      <c r="P58" s="73">
        <v>44647.337175925924</v>
      </c>
      <c r="Q58" t="s">
        <v>540</v>
      </c>
      <c r="R58">
        <v>0</v>
      </c>
      <c r="S58">
        <v>0</v>
      </c>
      <c r="T58">
        <v>0</v>
      </c>
      <c r="U58">
        <v>0</v>
      </c>
      <c r="Z58" t="s">
        <v>314</v>
      </c>
      <c r="AC58" s="74" t="s">
        <v>787</v>
      </c>
      <c r="AD58" t="s">
        <v>794</v>
      </c>
      <c r="AE58" s="75" t="str">
        <f>HYPERLINK("https://twitter.com/ferden62480561/status/1507992201711607813")</f>
        <v>https://twitter.com/ferden62480561/status/1507992201711607813</v>
      </c>
      <c r="AF58" s="73">
        <v>44647.337175925924</v>
      </c>
      <c r="AG58" s="77">
        <v>44647</v>
      </c>
      <c r="AH58" s="74" t="s">
        <v>854</v>
      </c>
      <c r="AV58" s="75" t="str">
        <f>HYPERLINK("https://pbs.twimg.com/profile_images/1370343220643651589/ZMEKjwW__normal.jpg")</f>
        <v>https://pbs.twimg.com/profile_images/1370343220643651589/ZMEKjwW__normal.jpg</v>
      </c>
      <c r="AW58" s="74" t="s">
        <v>1075</v>
      </c>
      <c r="AX58" s="74" t="s">
        <v>1261</v>
      </c>
      <c r="AY58" s="74" t="s">
        <v>1341</v>
      </c>
      <c r="AZ58" s="74" t="s">
        <v>1261</v>
      </c>
      <c r="BA58" s="74" t="s">
        <v>1384</v>
      </c>
      <c r="BB58" s="74" t="s">
        <v>1384</v>
      </c>
      <c r="BC58" s="74" t="s">
        <v>1261</v>
      </c>
      <c r="BD58" s="74" t="s">
        <v>1422</v>
      </c>
      <c r="BJ58" s="44">
        <v>4</v>
      </c>
      <c r="BK58" s="45">
        <v>36.36363636363637</v>
      </c>
      <c r="BL58" s="44">
        <v>0</v>
      </c>
      <c r="BM58" s="45">
        <v>0</v>
      </c>
      <c r="BN58" s="44">
        <v>0</v>
      </c>
      <c r="BO58" s="45">
        <v>0</v>
      </c>
      <c r="BP58" s="44">
        <v>7</v>
      </c>
      <c r="BQ58" s="45">
        <v>63.63636363636363</v>
      </c>
      <c r="BR58" s="44">
        <v>11</v>
      </c>
      <c r="BS58">
        <v>1</v>
      </c>
      <c r="BT58" s="112" t="str">
        <f>REPLACE(INDEX(GroupVertices[Group],MATCH("~"&amp;Edges37[[#This Row],[Vertex 1]],GroupVertices[Vertex],0)),1,1,"")</f>
        <v>11</v>
      </c>
      <c r="BU58" s="112" t="str">
        <f>REPLACE(INDEX(GroupVertices[Group],MATCH("~"&amp;Edges37[[#This Row],[Vertex 2]],GroupVertices[Vertex],0)),1,1,"")</f>
        <v>11</v>
      </c>
    </row>
    <row r="59" spans="1:73" ht="15">
      <c r="A59" s="59" t="s">
        <v>253</v>
      </c>
      <c r="B59" s="59" t="s">
        <v>318</v>
      </c>
      <c r="C59" s="60"/>
      <c r="D59" s="61"/>
      <c r="E59" s="62"/>
      <c r="F59" s="63"/>
      <c r="G59" s="60"/>
      <c r="H59" s="64"/>
      <c r="I59" s="65"/>
      <c r="J59" s="65"/>
      <c r="K59" s="30" t="s">
        <v>65</v>
      </c>
      <c r="L59" s="72">
        <v>68</v>
      </c>
      <c r="M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9" s="67"/>
      <c r="O59" t="s">
        <v>482</v>
      </c>
      <c r="P59" s="73">
        <v>44579.30100694444</v>
      </c>
      <c r="Q59" t="s">
        <v>541</v>
      </c>
      <c r="R59">
        <v>0</v>
      </c>
      <c r="S59">
        <v>0</v>
      </c>
      <c r="T59">
        <v>0</v>
      </c>
      <c r="U59">
        <v>0</v>
      </c>
      <c r="Z59" t="s">
        <v>318</v>
      </c>
      <c r="AC59" s="74" t="s">
        <v>787</v>
      </c>
      <c r="AD59" t="s">
        <v>794</v>
      </c>
      <c r="AE59" s="75" t="str">
        <f>HYPERLINK("https://twitter.com/elqtlqcri7fd9ng/status/1483336718841712647")</f>
        <v>https://twitter.com/elqtlqcri7fd9ng/status/1483336718841712647</v>
      </c>
      <c r="AF59" s="73">
        <v>44579.30100694444</v>
      </c>
      <c r="AG59" s="77">
        <v>44579</v>
      </c>
      <c r="AH59" s="74" t="s">
        <v>855</v>
      </c>
      <c r="AV59" s="75" t="str">
        <f>HYPERLINK("https://pbs.twimg.com/profile_images/1528581114696126464/ncbask8T_normal.jpg")</f>
        <v>https://pbs.twimg.com/profile_images/1528581114696126464/ncbask8T_normal.jpg</v>
      </c>
      <c r="AW59" s="74" t="s">
        <v>1076</v>
      </c>
      <c r="AX59" s="74" t="s">
        <v>1179</v>
      </c>
      <c r="AY59" s="74" t="s">
        <v>1334</v>
      </c>
      <c r="AZ59" s="74" t="s">
        <v>1179</v>
      </c>
      <c r="BA59" s="74" t="s">
        <v>1384</v>
      </c>
      <c r="BB59" s="74" t="s">
        <v>1384</v>
      </c>
      <c r="BC59" s="74" t="s">
        <v>1179</v>
      </c>
      <c r="BD59" s="74" t="s">
        <v>1423</v>
      </c>
      <c r="BJ59" s="44">
        <v>5</v>
      </c>
      <c r="BK59" s="45">
        <v>55.55555555555556</v>
      </c>
      <c r="BL59" s="44">
        <v>0</v>
      </c>
      <c r="BM59" s="45">
        <v>0</v>
      </c>
      <c r="BN59" s="44">
        <v>0</v>
      </c>
      <c r="BO59" s="45">
        <v>0</v>
      </c>
      <c r="BP59" s="44">
        <v>4</v>
      </c>
      <c r="BQ59" s="45">
        <v>44.44444444444444</v>
      </c>
      <c r="BR59" s="44">
        <v>9</v>
      </c>
      <c r="BS59">
        <v>1</v>
      </c>
      <c r="BT59" s="112" t="str">
        <f>REPLACE(INDEX(GroupVertices[Group],MATCH("~"&amp;Edges37[[#This Row],[Vertex 1]],GroupVertices[Vertex],0)),1,1,"")</f>
        <v>9</v>
      </c>
      <c r="BU59" s="112" t="str">
        <f>REPLACE(INDEX(GroupVertices[Group],MATCH("~"&amp;Edges37[[#This Row],[Vertex 2]],GroupVertices[Vertex],0)),1,1,"")</f>
        <v>9</v>
      </c>
    </row>
    <row r="60" spans="1:73" ht="15">
      <c r="A60" s="59" t="s">
        <v>254</v>
      </c>
      <c r="B60" s="59" t="s">
        <v>372</v>
      </c>
      <c r="C60" s="60"/>
      <c r="D60" s="61"/>
      <c r="E60" s="62"/>
      <c r="F60" s="63"/>
      <c r="G60" s="60"/>
      <c r="H60" s="64"/>
      <c r="I60" s="65"/>
      <c r="J60" s="65"/>
      <c r="K60" s="30" t="s">
        <v>65</v>
      </c>
      <c r="L60" s="72">
        <v>69</v>
      </c>
      <c r="M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0" s="67"/>
      <c r="O60" t="s">
        <v>483</v>
      </c>
      <c r="P60" s="73">
        <v>44698.09952546296</v>
      </c>
      <c r="Q60" t="s">
        <v>542</v>
      </c>
      <c r="R60">
        <v>0</v>
      </c>
      <c r="S60">
        <v>0</v>
      </c>
      <c r="T60">
        <v>0</v>
      </c>
      <c r="U60">
        <v>0</v>
      </c>
      <c r="Z60" t="s">
        <v>733</v>
      </c>
      <c r="AC60" s="74" t="s">
        <v>787</v>
      </c>
      <c r="AD60" t="s">
        <v>794</v>
      </c>
      <c r="AE60" s="75" t="str">
        <f>HYPERLINK("https://twitter.com/nurhanip3/status/1526387858365374466")</f>
        <v>https://twitter.com/nurhanip3/status/1526387858365374466</v>
      </c>
      <c r="AF60" s="73">
        <v>44698.09952546296</v>
      </c>
      <c r="AG60" s="77">
        <v>44698</v>
      </c>
      <c r="AH60" s="74" t="s">
        <v>856</v>
      </c>
      <c r="AV60" s="75" t="str">
        <f>HYPERLINK("https://pbs.twimg.com/profile_images/1484983158676275206/Gob5FqRq_normal.jpg")</f>
        <v>https://pbs.twimg.com/profile_images/1484983158676275206/Gob5FqRq_normal.jpg</v>
      </c>
      <c r="AW60" s="74" t="s">
        <v>1077</v>
      </c>
      <c r="AX60" s="74" t="s">
        <v>1262</v>
      </c>
      <c r="AY60" s="74" t="s">
        <v>1342</v>
      </c>
      <c r="AZ60" s="74" t="s">
        <v>1262</v>
      </c>
      <c r="BA60" s="74" t="s">
        <v>1384</v>
      </c>
      <c r="BB60" s="74" t="s">
        <v>1384</v>
      </c>
      <c r="BC60" s="74" t="s">
        <v>1262</v>
      </c>
      <c r="BD60" s="74" t="s">
        <v>1424</v>
      </c>
      <c r="BJ60" s="44"/>
      <c r="BK60" s="45"/>
      <c r="BL60" s="44"/>
      <c r="BM60" s="45"/>
      <c r="BN60" s="44"/>
      <c r="BO60" s="45"/>
      <c r="BP60" s="44"/>
      <c r="BQ60" s="45"/>
      <c r="BR60" s="44"/>
      <c r="BS60">
        <v>1</v>
      </c>
      <c r="BT60" s="112" t="str">
        <f>REPLACE(INDEX(GroupVertices[Group],MATCH("~"&amp;Edges37[[#This Row],[Vertex 1]],GroupVertices[Vertex],0)),1,1,"")</f>
        <v>17</v>
      </c>
      <c r="BU60" s="112" t="str">
        <f>REPLACE(INDEX(GroupVertices[Group],MATCH("~"&amp;Edges37[[#This Row],[Vertex 2]],GroupVertices[Vertex],0)),1,1,"")</f>
        <v>17</v>
      </c>
    </row>
    <row r="61" spans="1:73" ht="15">
      <c r="A61" s="59" t="s">
        <v>255</v>
      </c>
      <c r="B61" s="59" t="s">
        <v>318</v>
      </c>
      <c r="C61" s="60"/>
      <c r="D61" s="61"/>
      <c r="E61" s="62"/>
      <c r="F61" s="63"/>
      <c r="G61" s="60"/>
      <c r="H61" s="64"/>
      <c r="I61" s="65"/>
      <c r="J61" s="65"/>
      <c r="K61" s="30" t="s">
        <v>65</v>
      </c>
      <c r="L61" s="72">
        <v>72</v>
      </c>
      <c r="M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1" s="67"/>
      <c r="O61" t="s">
        <v>482</v>
      </c>
      <c r="P61" s="73">
        <v>44574.65510416667</v>
      </c>
      <c r="Q61" t="s">
        <v>543</v>
      </c>
      <c r="R61">
        <v>0</v>
      </c>
      <c r="S61">
        <v>0</v>
      </c>
      <c r="T61">
        <v>0</v>
      </c>
      <c r="U61">
        <v>0</v>
      </c>
      <c r="W61" s="74" t="s">
        <v>682</v>
      </c>
      <c r="Z61" t="s">
        <v>318</v>
      </c>
      <c r="AC61" s="74" t="s">
        <v>787</v>
      </c>
      <c r="AD61" t="s">
        <v>798</v>
      </c>
      <c r="AE61" s="75" t="str">
        <f>HYPERLINK("https://twitter.com/muhamma53050021/status/1481653100662620164")</f>
        <v>https://twitter.com/muhamma53050021/status/1481653100662620164</v>
      </c>
      <c r="AF61" s="73">
        <v>44574.65510416667</v>
      </c>
      <c r="AG61" s="77">
        <v>44574</v>
      </c>
      <c r="AH61" s="74" t="s">
        <v>857</v>
      </c>
      <c r="AV61" s="75" t="str">
        <f>HYPERLINK("https://pbs.twimg.com/profile_images/1481051164146028546/BAtu7XbG_normal.jpg")</f>
        <v>https://pbs.twimg.com/profile_images/1481051164146028546/BAtu7XbG_normal.jpg</v>
      </c>
      <c r="AW61" s="74" t="s">
        <v>1078</v>
      </c>
      <c r="AX61" s="74" t="s">
        <v>1179</v>
      </c>
      <c r="AY61" s="74" t="s">
        <v>1334</v>
      </c>
      <c r="AZ61" s="74" t="s">
        <v>1179</v>
      </c>
      <c r="BA61" s="74" t="s">
        <v>1384</v>
      </c>
      <c r="BB61" s="74" t="s">
        <v>1384</v>
      </c>
      <c r="BC61" s="74" t="s">
        <v>1179</v>
      </c>
      <c r="BD61" s="74" t="s">
        <v>1425</v>
      </c>
      <c r="BJ61" s="44">
        <v>0</v>
      </c>
      <c r="BK61" s="45">
        <v>0</v>
      </c>
      <c r="BL61" s="44">
        <v>0</v>
      </c>
      <c r="BM61" s="45">
        <v>0</v>
      </c>
      <c r="BN61" s="44">
        <v>0</v>
      </c>
      <c r="BO61" s="45">
        <v>0</v>
      </c>
      <c r="BP61" s="44">
        <v>2</v>
      </c>
      <c r="BQ61" s="45">
        <v>100</v>
      </c>
      <c r="BR61" s="44">
        <v>2</v>
      </c>
      <c r="BS61">
        <v>1</v>
      </c>
      <c r="BT61" s="112" t="str">
        <f>REPLACE(INDEX(GroupVertices[Group],MATCH("~"&amp;Edges37[[#This Row],[Vertex 1]],GroupVertices[Vertex],0)),1,1,"")</f>
        <v>9</v>
      </c>
      <c r="BU61" s="112" t="str">
        <f>REPLACE(INDEX(GroupVertices[Group],MATCH("~"&amp;Edges37[[#This Row],[Vertex 2]],GroupVertices[Vertex],0)),1,1,"")</f>
        <v>9</v>
      </c>
    </row>
    <row r="62" spans="1:73" ht="15">
      <c r="A62" s="59" t="s">
        <v>256</v>
      </c>
      <c r="B62" s="59" t="s">
        <v>375</v>
      </c>
      <c r="C62" s="60"/>
      <c r="D62" s="61"/>
      <c r="E62" s="62"/>
      <c r="F62" s="63"/>
      <c r="G62" s="60"/>
      <c r="H62" s="64"/>
      <c r="I62" s="65"/>
      <c r="J62" s="65"/>
      <c r="K62" s="30" t="s">
        <v>65</v>
      </c>
      <c r="L62" s="72">
        <v>73</v>
      </c>
      <c r="M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2" s="67"/>
      <c r="O62" t="s">
        <v>483</v>
      </c>
      <c r="P62" s="73">
        <v>44764.38917824074</v>
      </c>
      <c r="Q62" t="s">
        <v>544</v>
      </c>
      <c r="R62">
        <v>1</v>
      </c>
      <c r="S62">
        <v>1</v>
      </c>
      <c r="T62">
        <v>0</v>
      </c>
      <c r="U62">
        <v>0</v>
      </c>
      <c r="W62" s="74" t="s">
        <v>688</v>
      </c>
      <c r="Z62" t="s">
        <v>734</v>
      </c>
      <c r="AC62" s="74" t="s">
        <v>787</v>
      </c>
      <c r="AD62" t="s">
        <v>794</v>
      </c>
      <c r="AE62" s="75" t="str">
        <f>HYPERLINK("https://twitter.com/caryantoawuy/status/1550410426869252096")</f>
        <v>https://twitter.com/caryantoawuy/status/1550410426869252096</v>
      </c>
      <c r="AF62" s="73">
        <v>44764.38917824074</v>
      </c>
      <c r="AG62" s="77">
        <v>44764</v>
      </c>
      <c r="AH62" s="74" t="s">
        <v>858</v>
      </c>
      <c r="AV62" s="75" t="str">
        <f>HYPERLINK("https://pbs.twimg.com/profile_images/1687189182698115073/2W-0pLkc_normal.jpg")</f>
        <v>https://pbs.twimg.com/profile_images/1687189182698115073/2W-0pLkc_normal.jpg</v>
      </c>
      <c r="AW62" s="74" t="s">
        <v>1079</v>
      </c>
      <c r="AX62" s="74" t="s">
        <v>1263</v>
      </c>
      <c r="AY62" s="74" t="s">
        <v>1343</v>
      </c>
      <c r="AZ62" s="74" t="s">
        <v>1263</v>
      </c>
      <c r="BA62" s="74" t="s">
        <v>1384</v>
      </c>
      <c r="BB62" s="74" t="s">
        <v>1384</v>
      </c>
      <c r="BC62" s="74" t="s">
        <v>1263</v>
      </c>
      <c r="BD62" s="74" t="s">
        <v>1426</v>
      </c>
      <c r="BJ62" s="44"/>
      <c r="BK62" s="45"/>
      <c r="BL62" s="44"/>
      <c r="BM62" s="45"/>
      <c r="BN62" s="44"/>
      <c r="BO62" s="45"/>
      <c r="BP62" s="44"/>
      <c r="BQ62" s="45"/>
      <c r="BR62" s="44"/>
      <c r="BS62">
        <v>1</v>
      </c>
      <c r="BT62" s="112" t="str">
        <f>REPLACE(INDEX(GroupVertices[Group],MATCH("~"&amp;Edges37[[#This Row],[Vertex 1]],GroupVertices[Vertex],0)),1,1,"")</f>
        <v>23</v>
      </c>
      <c r="BU62" s="112" t="str">
        <f>REPLACE(INDEX(GroupVertices[Group],MATCH("~"&amp;Edges37[[#This Row],[Vertex 2]],GroupVertices[Vertex],0)),1,1,"")</f>
        <v>23</v>
      </c>
    </row>
    <row r="63" spans="1:73" ht="15">
      <c r="A63" s="59" t="s">
        <v>257</v>
      </c>
      <c r="B63" s="59" t="s">
        <v>268</v>
      </c>
      <c r="C63" s="60"/>
      <c r="D63" s="61"/>
      <c r="E63" s="62"/>
      <c r="F63" s="63"/>
      <c r="G63" s="60"/>
      <c r="H63" s="64"/>
      <c r="I63" s="65"/>
      <c r="J63" s="65"/>
      <c r="K63" s="30" t="s">
        <v>65</v>
      </c>
      <c r="L63" s="72">
        <v>75</v>
      </c>
      <c r="M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3" s="67"/>
      <c r="O63" t="s">
        <v>483</v>
      </c>
      <c r="P63" s="73">
        <v>44581.91873842593</v>
      </c>
      <c r="Q63" t="s">
        <v>545</v>
      </c>
      <c r="R63">
        <v>0</v>
      </c>
      <c r="S63">
        <v>0</v>
      </c>
      <c r="T63">
        <v>0</v>
      </c>
      <c r="U63">
        <v>0</v>
      </c>
      <c r="Z63" t="s">
        <v>735</v>
      </c>
      <c r="AC63" s="74" t="s">
        <v>787</v>
      </c>
      <c r="AD63" t="s">
        <v>794</v>
      </c>
      <c r="AE63" s="75" t="str">
        <f>HYPERLINK("https://twitter.com/johnblack03/status/1484285353955831812")</f>
        <v>https://twitter.com/johnblack03/status/1484285353955831812</v>
      </c>
      <c r="AF63" s="73">
        <v>44581.91873842593</v>
      </c>
      <c r="AG63" s="77">
        <v>44581</v>
      </c>
      <c r="AH63" s="74" t="s">
        <v>859</v>
      </c>
      <c r="AV63" s="75" t="str">
        <f>HYPERLINK("https://pbs.twimg.com/profile_images/1365473690046124041/zFu76XSd_normal.jpg")</f>
        <v>https://pbs.twimg.com/profile_images/1365473690046124041/zFu76XSd_normal.jpg</v>
      </c>
      <c r="AW63" s="74" t="s">
        <v>1080</v>
      </c>
      <c r="AX63" s="74" t="s">
        <v>1264</v>
      </c>
      <c r="AY63" s="74" t="s">
        <v>1344</v>
      </c>
      <c r="AZ63" s="74" t="s">
        <v>1264</v>
      </c>
      <c r="BA63" s="74" t="s">
        <v>1384</v>
      </c>
      <c r="BB63" s="74" t="s">
        <v>1384</v>
      </c>
      <c r="BC63" s="74" t="s">
        <v>1264</v>
      </c>
      <c r="BD63" s="74" t="s">
        <v>1427</v>
      </c>
      <c r="BJ63" s="44"/>
      <c r="BK63" s="45"/>
      <c r="BL63" s="44"/>
      <c r="BM63" s="45"/>
      <c r="BN63" s="44"/>
      <c r="BO63" s="45"/>
      <c r="BP63" s="44"/>
      <c r="BQ63" s="45"/>
      <c r="BR63" s="44"/>
      <c r="BS63">
        <v>1</v>
      </c>
      <c r="BT63" s="112" t="str">
        <f>REPLACE(INDEX(GroupVertices[Group],MATCH("~"&amp;Edges37[[#This Row],[Vertex 1]],GroupVertices[Vertex],0)),1,1,"")</f>
        <v>13</v>
      </c>
      <c r="BU63" s="112" t="str">
        <f>REPLACE(INDEX(GroupVertices[Group],MATCH("~"&amp;Edges37[[#This Row],[Vertex 2]],GroupVertices[Vertex],0)),1,1,"")</f>
        <v>13</v>
      </c>
    </row>
    <row r="64" spans="1:73" ht="15">
      <c r="A64" s="59" t="s">
        <v>258</v>
      </c>
      <c r="B64" s="59" t="s">
        <v>328</v>
      </c>
      <c r="C64" s="60"/>
      <c r="D64" s="61"/>
      <c r="E64" s="62"/>
      <c r="F64" s="63"/>
      <c r="G64" s="60"/>
      <c r="H64" s="64"/>
      <c r="I64" s="65"/>
      <c r="J64" s="65"/>
      <c r="K64" s="30" t="s">
        <v>65</v>
      </c>
      <c r="L64" s="72">
        <v>77</v>
      </c>
      <c r="M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4" s="67"/>
      <c r="O64" t="s">
        <v>482</v>
      </c>
      <c r="P64" s="73">
        <v>44543.319074074076</v>
      </c>
      <c r="Q64" t="s">
        <v>546</v>
      </c>
      <c r="R64">
        <v>0</v>
      </c>
      <c r="S64">
        <v>0</v>
      </c>
      <c r="T64">
        <v>0</v>
      </c>
      <c r="U64">
        <v>0</v>
      </c>
      <c r="Z64" t="s">
        <v>328</v>
      </c>
      <c r="AC64" s="74" t="s">
        <v>786</v>
      </c>
      <c r="AD64" t="s">
        <v>794</v>
      </c>
      <c r="AE64" s="75" t="str">
        <f>HYPERLINK("https://twitter.com/fear37030/status/1470297301377695746")</f>
        <v>https://twitter.com/fear37030/status/1470297301377695746</v>
      </c>
      <c r="AF64" s="73">
        <v>44543.319074074076</v>
      </c>
      <c r="AG64" s="77">
        <v>44543</v>
      </c>
      <c r="AH64" s="74" t="s">
        <v>860</v>
      </c>
      <c r="AV64" s="75" t="str">
        <f>HYPERLINK("https://pbs.twimg.com/profile_images/1317005572693135360/Yuc7YV6w_normal.jpg")</f>
        <v>https://pbs.twimg.com/profile_images/1317005572693135360/Yuc7YV6w_normal.jpg</v>
      </c>
      <c r="AW64" s="74" t="s">
        <v>1081</v>
      </c>
      <c r="AX64" s="74" t="s">
        <v>1265</v>
      </c>
      <c r="AY64" s="74" t="s">
        <v>1318</v>
      </c>
      <c r="AZ64" s="74" t="s">
        <v>1265</v>
      </c>
      <c r="BA64" s="74" t="s">
        <v>1384</v>
      </c>
      <c r="BB64" s="74" t="s">
        <v>1384</v>
      </c>
      <c r="BC64" s="74" t="s">
        <v>1265</v>
      </c>
      <c r="BD64">
        <v>73938469</v>
      </c>
      <c r="BJ64" s="44">
        <v>3</v>
      </c>
      <c r="BK64" s="45">
        <v>16.666666666666668</v>
      </c>
      <c r="BL64" s="44">
        <v>1</v>
      </c>
      <c r="BM64" s="45">
        <v>5.555555555555555</v>
      </c>
      <c r="BN64" s="44">
        <v>0</v>
      </c>
      <c r="BO64" s="45">
        <v>0</v>
      </c>
      <c r="BP64" s="44">
        <v>14</v>
      </c>
      <c r="BQ64" s="45">
        <v>77.77777777777777</v>
      </c>
      <c r="BR64" s="44">
        <v>18</v>
      </c>
      <c r="BS64">
        <v>1</v>
      </c>
      <c r="BT64" s="112" t="str">
        <f>REPLACE(INDEX(GroupVertices[Group],MATCH("~"&amp;Edges37[[#This Row],[Vertex 1]],GroupVertices[Vertex],0)),1,1,"")</f>
        <v>19</v>
      </c>
      <c r="BU64" s="112" t="str">
        <f>REPLACE(INDEX(GroupVertices[Group],MATCH("~"&amp;Edges37[[#This Row],[Vertex 2]],GroupVertices[Vertex],0)),1,1,"")</f>
        <v>19</v>
      </c>
    </row>
    <row r="65" spans="1:73" ht="15">
      <c r="A65" s="59" t="s">
        <v>258</v>
      </c>
      <c r="B65" s="59" t="s">
        <v>314</v>
      </c>
      <c r="C65" s="60"/>
      <c r="D65" s="61"/>
      <c r="E65" s="62"/>
      <c r="F65" s="63"/>
      <c r="G65" s="60"/>
      <c r="H65" s="64"/>
      <c r="I65" s="65"/>
      <c r="J65" s="65"/>
      <c r="K65" s="30" t="s">
        <v>65</v>
      </c>
      <c r="L65" s="72">
        <v>78</v>
      </c>
      <c r="M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5" s="67"/>
      <c r="O65" t="s">
        <v>484</v>
      </c>
      <c r="P65" s="73">
        <v>44566.32478009259</v>
      </c>
      <c r="Q65" t="s">
        <v>547</v>
      </c>
      <c r="R65">
        <v>1</v>
      </c>
      <c r="S65">
        <v>1</v>
      </c>
      <c r="T65">
        <v>0</v>
      </c>
      <c r="U65">
        <v>0</v>
      </c>
      <c r="W65" s="74" t="s">
        <v>689</v>
      </c>
      <c r="AC65" s="74" t="s">
        <v>787</v>
      </c>
      <c r="AD65" t="s">
        <v>794</v>
      </c>
      <c r="AE65" s="75" t="str">
        <f>HYPERLINK("https://twitter.com/fear37030/status/1478634290745278466")</f>
        <v>https://twitter.com/fear37030/status/1478634290745278466</v>
      </c>
      <c r="AF65" s="73">
        <v>44566.32478009259</v>
      </c>
      <c r="AG65" s="77">
        <v>44566</v>
      </c>
      <c r="AH65" s="74" t="s">
        <v>861</v>
      </c>
      <c r="AV65" s="75" t="str">
        <f>HYPERLINK("https://pbs.twimg.com/profile_images/1317005572693135360/Yuc7YV6w_normal.jpg")</f>
        <v>https://pbs.twimg.com/profile_images/1317005572693135360/Yuc7YV6w_normal.jpg</v>
      </c>
      <c r="AW65" s="74" t="s">
        <v>1082</v>
      </c>
      <c r="AX65" s="74" t="s">
        <v>1082</v>
      </c>
      <c r="AZ65" s="74" t="s">
        <v>1384</v>
      </c>
      <c r="BA65" s="74" t="s">
        <v>1172</v>
      </c>
      <c r="BB65" s="74" t="s">
        <v>1384</v>
      </c>
      <c r="BC65" s="74" t="s">
        <v>1172</v>
      </c>
      <c r="BD65">
        <v>73938469</v>
      </c>
      <c r="BJ65" s="44">
        <v>0</v>
      </c>
      <c r="BK65" s="45">
        <v>0</v>
      </c>
      <c r="BL65" s="44">
        <v>0</v>
      </c>
      <c r="BM65" s="45">
        <v>0</v>
      </c>
      <c r="BN65" s="44">
        <v>0</v>
      </c>
      <c r="BO65" s="45">
        <v>0</v>
      </c>
      <c r="BP65" s="44">
        <v>36</v>
      </c>
      <c r="BQ65" s="45">
        <v>100</v>
      </c>
      <c r="BR65" s="44">
        <v>36</v>
      </c>
      <c r="BS65">
        <v>1</v>
      </c>
      <c r="BT65" s="112" t="str">
        <f>REPLACE(INDEX(GroupVertices[Group],MATCH("~"&amp;Edges37[[#This Row],[Vertex 1]],GroupVertices[Vertex],0)),1,1,"")</f>
        <v>19</v>
      </c>
      <c r="BU65" s="112" t="str">
        <f>REPLACE(INDEX(GroupVertices[Group],MATCH("~"&amp;Edges37[[#This Row],[Vertex 2]],GroupVertices[Vertex],0)),1,1,"")</f>
        <v>11</v>
      </c>
    </row>
    <row r="66" spans="1:73" ht="15">
      <c r="A66" s="59" t="s">
        <v>258</v>
      </c>
      <c r="B66" s="59" t="s">
        <v>258</v>
      </c>
      <c r="C66" s="60"/>
      <c r="D66" s="61"/>
      <c r="E66" s="62"/>
      <c r="F66" s="63"/>
      <c r="G66" s="60"/>
      <c r="H66" s="64"/>
      <c r="I66" s="65"/>
      <c r="J66" s="65"/>
      <c r="K66" s="30" t="s">
        <v>65</v>
      </c>
      <c r="L66" s="72">
        <v>79</v>
      </c>
      <c r="M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6" s="67"/>
      <c r="O66" t="s">
        <v>177</v>
      </c>
      <c r="P66" s="73">
        <v>44571.83325231481</v>
      </c>
      <c r="Q66" t="s">
        <v>548</v>
      </c>
      <c r="R66">
        <v>0</v>
      </c>
      <c r="S66">
        <v>0</v>
      </c>
      <c r="T66">
        <v>0</v>
      </c>
      <c r="U66">
        <v>0</v>
      </c>
      <c r="W66" s="74" t="s">
        <v>690</v>
      </c>
      <c r="AC66" s="74" t="s">
        <v>787</v>
      </c>
      <c r="AD66" t="s">
        <v>794</v>
      </c>
      <c r="AE66" s="75" t="str">
        <f>HYPERLINK("https://twitter.com/fear37030/status/1480630493808758784")</f>
        <v>https://twitter.com/fear37030/status/1480630493808758784</v>
      </c>
      <c r="AF66" s="73">
        <v>44571.83325231481</v>
      </c>
      <c r="AG66" s="77">
        <v>44571</v>
      </c>
      <c r="AH66" s="74" t="s">
        <v>862</v>
      </c>
      <c r="AV66" s="75" t="str">
        <f>HYPERLINK("https://pbs.twimg.com/profile_images/1317005572693135360/Yuc7YV6w_normal.jpg")</f>
        <v>https://pbs.twimg.com/profile_images/1317005572693135360/Yuc7YV6w_normal.jpg</v>
      </c>
      <c r="AW66" s="74" t="s">
        <v>1083</v>
      </c>
      <c r="AX66" s="74" t="s">
        <v>1083</v>
      </c>
      <c r="AZ66" s="74" t="s">
        <v>1384</v>
      </c>
      <c r="BA66" s="74" t="s">
        <v>1384</v>
      </c>
      <c r="BB66" s="74" t="s">
        <v>1384</v>
      </c>
      <c r="BC66" s="74" t="s">
        <v>1083</v>
      </c>
      <c r="BD66">
        <v>73938469</v>
      </c>
      <c r="BJ66" s="44">
        <v>3</v>
      </c>
      <c r="BK66" s="45">
        <v>10.344827586206897</v>
      </c>
      <c r="BL66" s="44">
        <v>3</v>
      </c>
      <c r="BM66" s="45">
        <v>10.344827586206897</v>
      </c>
      <c r="BN66" s="44">
        <v>0</v>
      </c>
      <c r="BO66" s="45">
        <v>0</v>
      </c>
      <c r="BP66" s="44">
        <v>23</v>
      </c>
      <c r="BQ66" s="45">
        <v>79.3103448275862</v>
      </c>
      <c r="BR66" s="44">
        <v>29</v>
      </c>
      <c r="BS66">
        <v>8</v>
      </c>
      <c r="BT66" s="112" t="str">
        <f>REPLACE(INDEX(GroupVertices[Group],MATCH("~"&amp;Edges37[[#This Row],[Vertex 1]],GroupVertices[Vertex],0)),1,1,"")</f>
        <v>19</v>
      </c>
      <c r="BU66" s="112" t="str">
        <f>REPLACE(INDEX(GroupVertices[Group],MATCH("~"&amp;Edges37[[#This Row],[Vertex 2]],GroupVertices[Vertex],0)),1,1,"")</f>
        <v>19</v>
      </c>
    </row>
    <row r="67" spans="1:73" ht="15">
      <c r="A67" s="59" t="s">
        <v>259</v>
      </c>
      <c r="B67" s="59" t="s">
        <v>378</v>
      </c>
      <c r="C67" s="60"/>
      <c r="D67" s="61"/>
      <c r="E67" s="62"/>
      <c r="F67" s="63"/>
      <c r="G67" s="60"/>
      <c r="H67" s="64"/>
      <c r="I67" s="65"/>
      <c r="J67" s="65"/>
      <c r="K67" s="30" t="s">
        <v>65</v>
      </c>
      <c r="L67" s="72">
        <v>80</v>
      </c>
      <c r="M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7" s="67"/>
      <c r="O67" t="s">
        <v>483</v>
      </c>
      <c r="P67" s="73">
        <v>44566.00714120371</v>
      </c>
      <c r="Q67" t="s">
        <v>549</v>
      </c>
      <c r="R67">
        <v>0</v>
      </c>
      <c r="S67">
        <v>0</v>
      </c>
      <c r="T67">
        <v>0</v>
      </c>
      <c r="U67">
        <v>0</v>
      </c>
      <c r="Z67" t="s">
        <v>736</v>
      </c>
      <c r="AC67" s="74" t="s">
        <v>787</v>
      </c>
      <c r="AD67" t="s">
        <v>794</v>
      </c>
      <c r="AE67" s="75" t="str">
        <f>HYPERLINK("https://twitter.com/ardchun/status/1478519183000289281")</f>
        <v>https://twitter.com/ardchun/status/1478519183000289281</v>
      </c>
      <c r="AF67" s="73">
        <v>44566.00714120371</v>
      </c>
      <c r="AG67" s="77">
        <v>44566</v>
      </c>
      <c r="AH67" s="74" t="s">
        <v>863</v>
      </c>
      <c r="AV67" s="75" t="str">
        <f>HYPERLINK("https://pbs.twimg.com/profile_images/1375206509416615937/HTd9lUJP_normal.jpg")</f>
        <v>https://pbs.twimg.com/profile_images/1375206509416615937/HTd9lUJP_normal.jpg</v>
      </c>
      <c r="AW67" s="74" t="s">
        <v>1084</v>
      </c>
      <c r="AX67" s="74" t="s">
        <v>1266</v>
      </c>
      <c r="AY67" s="74" t="s">
        <v>1345</v>
      </c>
      <c r="AZ67" s="74" t="s">
        <v>1266</v>
      </c>
      <c r="BA67" s="74" t="s">
        <v>1384</v>
      </c>
      <c r="BB67" s="74" t="s">
        <v>1384</v>
      </c>
      <c r="BC67" s="74" t="s">
        <v>1266</v>
      </c>
      <c r="BD67" s="74" t="s">
        <v>1428</v>
      </c>
      <c r="BJ67" s="44">
        <v>3</v>
      </c>
      <c r="BK67" s="45">
        <v>60</v>
      </c>
      <c r="BL67" s="44">
        <v>0</v>
      </c>
      <c r="BM67" s="45">
        <v>0</v>
      </c>
      <c r="BN67" s="44">
        <v>0</v>
      </c>
      <c r="BO67" s="45">
        <v>0</v>
      </c>
      <c r="BP67" s="44">
        <v>2</v>
      </c>
      <c r="BQ67" s="45">
        <v>40</v>
      </c>
      <c r="BR67" s="44">
        <v>5</v>
      </c>
      <c r="BS67">
        <v>1</v>
      </c>
      <c r="BT67" s="112" t="str">
        <f>REPLACE(INDEX(GroupVertices[Group],MATCH("~"&amp;Edges37[[#This Row],[Vertex 1]],GroupVertices[Vertex],0)),1,1,"")</f>
        <v>13</v>
      </c>
      <c r="BU67" s="112" t="str">
        <f>REPLACE(INDEX(GroupVertices[Group],MATCH("~"&amp;Edges37[[#This Row],[Vertex 2]],GroupVertices[Vertex],0)),1,1,"")</f>
        <v>13</v>
      </c>
    </row>
    <row r="68" spans="1:73" ht="15">
      <c r="A68" s="59" t="s">
        <v>259</v>
      </c>
      <c r="B68" s="59" t="s">
        <v>377</v>
      </c>
      <c r="C68" s="60"/>
      <c r="D68" s="61"/>
      <c r="E68" s="62"/>
      <c r="F68" s="63"/>
      <c r="G68" s="60"/>
      <c r="H68" s="64"/>
      <c r="I68" s="65"/>
      <c r="J68" s="65"/>
      <c r="K68" s="30" t="s">
        <v>65</v>
      </c>
      <c r="L68" s="72">
        <v>81</v>
      </c>
      <c r="M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8" s="67"/>
      <c r="O68" t="s">
        <v>482</v>
      </c>
      <c r="P68" s="73">
        <v>44537.68350694444</v>
      </c>
      <c r="Q68" t="s">
        <v>550</v>
      </c>
      <c r="R68">
        <v>0</v>
      </c>
      <c r="S68">
        <v>1</v>
      </c>
      <c r="T68">
        <v>0</v>
      </c>
      <c r="U68">
        <v>0</v>
      </c>
      <c r="Z68" t="s">
        <v>737</v>
      </c>
      <c r="AC68" s="74" t="s">
        <v>787</v>
      </c>
      <c r="AD68" t="s">
        <v>794</v>
      </c>
      <c r="AE68" s="75" t="str">
        <f>HYPERLINK("https://twitter.com/ardchun/status/1468255040905170951")</f>
        <v>https://twitter.com/ardchun/status/1468255040905170951</v>
      </c>
      <c r="AF68" s="73">
        <v>44537.68350694444</v>
      </c>
      <c r="AG68" s="77">
        <v>44537</v>
      </c>
      <c r="AH68" s="74" t="s">
        <v>864</v>
      </c>
      <c r="AV68" s="75" t="str">
        <f>HYPERLINK("https://pbs.twimg.com/profile_images/1375206509416615937/HTd9lUJP_normal.jpg")</f>
        <v>https://pbs.twimg.com/profile_images/1375206509416615937/HTd9lUJP_normal.jpg</v>
      </c>
      <c r="AW68" s="74" t="s">
        <v>1085</v>
      </c>
      <c r="AX68" s="74" t="s">
        <v>1267</v>
      </c>
      <c r="AY68" s="74" t="s">
        <v>1344</v>
      </c>
      <c r="AZ68" s="74" t="s">
        <v>1267</v>
      </c>
      <c r="BA68" s="74" t="s">
        <v>1384</v>
      </c>
      <c r="BB68" s="74" t="s">
        <v>1384</v>
      </c>
      <c r="BC68" s="74" t="s">
        <v>1267</v>
      </c>
      <c r="BD68" s="74" t="s">
        <v>1428</v>
      </c>
      <c r="BJ68" s="44">
        <v>4</v>
      </c>
      <c r="BK68" s="45">
        <v>50</v>
      </c>
      <c r="BL68" s="44">
        <v>0</v>
      </c>
      <c r="BM68" s="45">
        <v>0</v>
      </c>
      <c r="BN68" s="44">
        <v>0</v>
      </c>
      <c r="BO68" s="45">
        <v>0</v>
      </c>
      <c r="BP68" s="44">
        <v>4</v>
      </c>
      <c r="BQ68" s="45">
        <v>50</v>
      </c>
      <c r="BR68" s="44">
        <v>8</v>
      </c>
      <c r="BS68">
        <v>1</v>
      </c>
      <c r="BT68" s="112" t="str">
        <f>REPLACE(INDEX(GroupVertices[Group],MATCH("~"&amp;Edges37[[#This Row],[Vertex 1]],GroupVertices[Vertex],0)),1,1,"")</f>
        <v>13</v>
      </c>
      <c r="BU68" s="112" t="str">
        <f>REPLACE(INDEX(GroupVertices[Group],MATCH("~"&amp;Edges37[[#This Row],[Vertex 2]],GroupVertices[Vertex],0)),1,1,"")</f>
        <v>13</v>
      </c>
    </row>
    <row r="69" spans="1:73" ht="15">
      <c r="A69" s="59" t="s">
        <v>259</v>
      </c>
      <c r="B69" s="59" t="s">
        <v>268</v>
      </c>
      <c r="C69" s="60"/>
      <c r="D69" s="61"/>
      <c r="E69" s="62"/>
      <c r="F69" s="63"/>
      <c r="G69" s="60"/>
      <c r="H69" s="64"/>
      <c r="I69" s="65"/>
      <c r="J69" s="65"/>
      <c r="K69" s="30" t="s">
        <v>65</v>
      </c>
      <c r="L69" s="72">
        <v>82</v>
      </c>
      <c r="M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9" s="67"/>
      <c r="O69" t="s">
        <v>484</v>
      </c>
      <c r="P69" s="73">
        <v>44544.51236111111</v>
      </c>
      <c r="Q69" t="s">
        <v>551</v>
      </c>
      <c r="R69">
        <v>0</v>
      </c>
      <c r="S69">
        <v>0</v>
      </c>
      <c r="T69">
        <v>0</v>
      </c>
      <c r="U69">
        <v>0</v>
      </c>
      <c r="AC69" s="74" t="s">
        <v>787</v>
      </c>
      <c r="AD69" t="s">
        <v>794</v>
      </c>
      <c r="AE69" s="75" t="str">
        <f>HYPERLINK("https://twitter.com/ardchun/status/1470729734019448833")</f>
        <v>https://twitter.com/ardchun/status/1470729734019448833</v>
      </c>
      <c r="AF69" s="73">
        <v>44544.51236111111</v>
      </c>
      <c r="AG69" s="77">
        <v>44544</v>
      </c>
      <c r="AH69" s="74" t="s">
        <v>865</v>
      </c>
      <c r="AV69" s="75" t="str">
        <f>HYPERLINK("https://pbs.twimg.com/profile_images/1375206509416615937/HTd9lUJP_normal.jpg")</f>
        <v>https://pbs.twimg.com/profile_images/1375206509416615937/HTd9lUJP_normal.jpg</v>
      </c>
      <c r="AW69" s="74" t="s">
        <v>1086</v>
      </c>
      <c r="AX69" s="74" t="s">
        <v>1086</v>
      </c>
      <c r="AZ69" s="74" t="s">
        <v>1384</v>
      </c>
      <c r="BA69" s="74" t="s">
        <v>1167</v>
      </c>
      <c r="BB69" s="74" t="s">
        <v>1384</v>
      </c>
      <c r="BC69" s="74" t="s">
        <v>1167</v>
      </c>
      <c r="BD69" s="74" t="s">
        <v>1428</v>
      </c>
      <c r="BJ69" s="44">
        <v>3</v>
      </c>
      <c r="BK69" s="45">
        <v>100</v>
      </c>
      <c r="BL69" s="44">
        <v>0</v>
      </c>
      <c r="BM69" s="45">
        <v>0</v>
      </c>
      <c r="BN69" s="44">
        <v>0</v>
      </c>
      <c r="BO69" s="45">
        <v>0</v>
      </c>
      <c r="BP69" s="44">
        <v>0</v>
      </c>
      <c r="BQ69" s="45">
        <v>0</v>
      </c>
      <c r="BR69" s="44">
        <v>3</v>
      </c>
      <c r="BS69">
        <v>8</v>
      </c>
      <c r="BT69" s="112" t="str">
        <f>REPLACE(INDEX(GroupVertices[Group],MATCH("~"&amp;Edges37[[#This Row],[Vertex 1]],GroupVertices[Vertex],0)),1,1,"")</f>
        <v>13</v>
      </c>
      <c r="BU69" s="112" t="str">
        <f>REPLACE(INDEX(GroupVertices[Group],MATCH("~"&amp;Edges37[[#This Row],[Vertex 2]],GroupVertices[Vertex],0)),1,1,"")</f>
        <v>13</v>
      </c>
    </row>
    <row r="70" spans="1:73" ht="15">
      <c r="A70" s="59" t="s">
        <v>259</v>
      </c>
      <c r="B70" s="59" t="s">
        <v>318</v>
      </c>
      <c r="C70" s="60"/>
      <c r="D70" s="61"/>
      <c r="E70" s="62"/>
      <c r="F70" s="63"/>
      <c r="G70" s="60"/>
      <c r="H70" s="64"/>
      <c r="I70" s="65"/>
      <c r="J70" s="65"/>
      <c r="K70" s="30" t="s">
        <v>65</v>
      </c>
      <c r="L70" s="72">
        <v>83</v>
      </c>
      <c r="M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0" s="67"/>
      <c r="O70" t="s">
        <v>484</v>
      </c>
      <c r="P70" s="73">
        <v>44565.980532407404</v>
      </c>
      <c r="Q70" t="s">
        <v>552</v>
      </c>
      <c r="R70">
        <v>0</v>
      </c>
      <c r="S70">
        <v>0</v>
      </c>
      <c r="T70">
        <v>0</v>
      </c>
      <c r="U70">
        <v>0</v>
      </c>
      <c r="X70" s="75" t="str">
        <f>HYPERLINK("https://twb.nz/presidentialthreshold0persen")</f>
        <v>https://twb.nz/presidentialthreshold0persen</v>
      </c>
      <c r="Y70" t="s">
        <v>713</v>
      </c>
      <c r="AC70" s="74" t="s">
        <v>787</v>
      </c>
      <c r="AD70" t="s">
        <v>794</v>
      </c>
      <c r="AE70" s="75" t="str">
        <f>HYPERLINK("https://twitter.com/ardchun/status/1478509539271987200")</f>
        <v>https://twitter.com/ardchun/status/1478509539271987200</v>
      </c>
      <c r="AF70" s="73">
        <v>44565.980532407404</v>
      </c>
      <c r="AG70" s="77">
        <v>44565</v>
      </c>
      <c r="AH70" s="74" t="s">
        <v>866</v>
      </c>
      <c r="AI70" t="b">
        <v>0</v>
      </c>
      <c r="AV70" s="75" t="str">
        <f>HYPERLINK("https://pbs.twimg.com/profile_images/1375206509416615937/HTd9lUJP_normal.jpg")</f>
        <v>https://pbs.twimg.com/profile_images/1375206509416615937/HTd9lUJP_normal.jpg</v>
      </c>
      <c r="AW70" s="74" t="s">
        <v>1087</v>
      </c>
      <c r="AX70" s="74" t="s">
        <v>1087</v>
      </c>
      <c r="AZ70" s="74" t="s">
        <v>1384</v>
      </c>
      <c r="BA70" s="74" t="s">
        <v>1178</v>
      </c>
      <c r="BB70" s="74" t="s">
        <v>1384</v>
      </c>
      <c r="BC70" s="74" t="s">
        <v>1178</v>
      </c>
      <c r="BD70" s="74" t="s">
        <v>1428</v>
      </c>
      <c r="BJ70" s="44">
        <v>3</v>
      </c>
      <c r="BK70" s="45">
        <v>100</v>
      </c>
      <c r="BL70" s="44">
        <v>0</v>
      </c>
      <c r="BM70" s="45">
        <v>0</v>
      </c>
      <c r="BN70" s="44">
        <v>0</v>
      </c>
      <c r="BO70" s="45">
        <v>0</v>
      </c>
      <c r="BP70" s="44">
        <v>0</v>
      </c>
      <c r="BQ70" s="45">
        <v>0</v>
      </c>
      <c r="BR70" s="44">
        <v>3</v>
      </c>
      <c r="BS70">
        <v>8</v>
      </c>
      <c r="BT70" s="112" t="str">
        <f>REPLACE(INDEX(GroupVertices[Group],MATCH("~"&amp;Edges37[[#This Row],[Vertex 1]],GroupVertices[Vertex],0)),1,1,"")</f>
        <v>13</v>
      </c>
      <c r="BU70" s="112" t="str">
        <f>REPLACE(INDEX(GroupVertices[Group],MATCH("~"&amp;Edges37[[#This Row],[Vertex 2]],GroupVertices[Vertex],0)),1,1,"")</f>
        <v>9</v>
      </c>
    </row>
    <row r="71" spans="1:73" ht="15">
      <c r="A71" s="59" t="s">
        <v>259</v>
      </c>
      <c r="B71" s="59" t="s">
        <v>259</v>
      </c>
      <c r="C71" s="60"/>
      <c r="D71" s="61"/>
      <c r="E71" s="62"/>
      <c r="F71" s="63"/>
      <c r="G71" s="60"/>
      <c r="H71" s="64"/>
      <c r="I71" s="65"/>
      <c r="J71" s="65"/>
      <c r="K71" s="30" t="s">
        <v>65</v>
      </c>
      <c r="L71" s="72">
        <v>84</v>
      </c>
      <c r="M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1" s="67"/>
      <c r="O71" t="s">
        <v>177</v>
      </c>
      <c r="P71" s="73">
        <v>44559.03094907408</v>
      </c>
      <c r="Q71" t="s">
        <v>553</v>
      </c>
      <c r="R71">
        <v>0</v>
      </c>
      <c r="S71">
        <v>0</v>
      </c>
      <c r="T71">
        <v>0</v>
      </c>
      <c r="U71">
        <v>0</v>
      </c>
      <c r="AA71" t="s">
        <v>767</v>
      </c>
      <c r="AB71" t="s">
        <v>783</v>
      </c>
      <c r="AC71" s="74" t="s">
        <v>787</v>
      </c>
      <c r="AD71" t="s">
        <v>794</v>
      </c>
      <c r="AE71" s="75" t="str">
        <f>HYPERLINK("https://twitter.com/ardchun/status/1475991097872576514")</f>
        <v>https://twitter.com/ardchun/status/1475991097872576514</v>
      </c>
      <c r="AF71" s="73">
        <v>44559.03094907408</v>
      </c>
      <c r="AG71" s="77">
        <v>44559</v>
      </c>
      <c r="AH71" s="74" t="s">
        <v>867</v>
      </c>
      <c r="AI71" t="b">
        <v>0</v>
      </c>
      <c r="AQ71" t="s">
        <v>1005</v>
      </c>
      <c r="AV71" s="75" t="str">
        <f>HYPERLINK("https://pbs.twimg.com/media/FHvGFDOUUAAV5DU.jpg")</f>
        <v>https://pbs.twimg.com/media/FHvGFDOUUAAV5DU.jpg</v>
      </c>
      <c r="AW71" s="74" t="s">
        <v>1088</v>
      </c>
      <c r="AX71" s="74" t="s">
        <v>1088</v>
      </c>
      <c r="AZ71" s="74" t="s">
        <v>1384</v>
      </c>
      <c r="BA71" s="74" t="s">
        <v>1384</v>
      </c>
      <c r="BB71" s="74" t="s">
        <v>1384</v>
      </c>
      <c r="BC71" s="74" t="s">
        <v>1088</v>
      </c>
      <c r="BD71" s="74" t="s">
        <v>1428</v>
      </c>
      <c r="BJ71" s="44">
        <v>3</v>
      </c>
      <c r="BK71" s="45">
        <v>100</v>
      </c>
      <c r="BL71" s="44">
        <v>0</v>
      </c>
      <c r="BM71" s="45">
        <v>0</v>
      </c>
      <c r="BN71" s="44">
        <v>0</v>
      </c>
      <c r="BO71" s="45">
        <v>0</v>
      </c>
      <c r="BP71" s="44">
        <v>0</v>
      </c>
      <c r="BQ71" s="45">
        <v>0</v>
      </c>
      <c r="BR71" s="44">
        <v>3</v>
      </c>
      <c r="BS71">
        <v>1</v>
      </c>
      <c r="BT71" s="112" t="str">
        <f>REPLACE(INDEX(GroupVertices[Group],MATCH("~"&amp;Edges37[[#This Row],[Vertex 1]],GroupVertices[Vertex],0)),1,1,"")</f>
        <v>13</v>
      </c>
      <c r="BU71" s="112" t="str">
        <f>REPLACE(INDEX(GroupVertices[Group],MATCH("~"&amp;Edges37[[#This Row],[Vertex 2]],GroupVertices[Vertex],0)),1,1,"")</f>
        <v>13</v>
      </c>
    </row>
    <row r="72" spans="1:73" ht="15">
      <c r="A72" s="59" t="s">
        <v>260</v>
      </c>
      <c r="B72" s="59" t="s">
        <v>288</v>
      </c>
      <c r="C72" s="60"/>
      <c r="D72" s="61"/>
      <c r="E72" s="62"/>
      <c r="F72" s="63"/>
      <c r="G72" s="60"/>
      <c r="H72" s="64"/>
      <c r="I72" s="65"/>
      <c r="J72" s="65"/>
      <c r="K72" s="30" t="s">
        <v>65</v>
      </c>
      <c r="L72" s="72">
        <v>85</v>
      </c>
      <c r="M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2" s="67"/>
      <c r="O72" t="s">
        <v>482</v>
      </c>
      <c r="P72" s="73">
        <v>45187.95144675926</v>
      </c>
      <c r="Q72" t="s">
        <v>554</v>
      </c>
      <c r="R72">
        <v>0</v>
      </c>
      <c r="S72">
        <v>0</v>
      </c>
      <c r="T72">
        <v>0</v>
      </c>
      <c r="U72">
        <v>0</v>
      </c>
      <c r="V72">
        <v>2</v>
      </c>
      <c r="Z72" t="s">
        <v>288</v>
      </c>
      <c r="AC72" s="74" t="s">
        <v>787</v>
      </c>
      <c r="AD72" t="s">
        <v>794</v>
      </c>
      <c r="AE72" s="75" t="str">
        <f>HYPERLINK("https://twitter.com/lautpaku/status/1703904252450816304")</f>
        <v>https://twitter.com/lautpaku/status/1703904252450816304</v>
      </c>
      <c r="AF72" s="73">
        <v>45187.95144675926</v>
      </c>
      <c r="AG72" s="77">
        <v>45187</v>
      </c>
      <c r="AH72" s="74" t="s">
        <v>868</v>
      </c>
      <c r="AV72" s="75" t="str">
        <f>HYPERLINK("https://pbs.twimg.com/profile_images/1345422152057593861/mIjaY78H_normal.jpg")</f>
        <v>https://pbs.twimg.com/profile_images/1345422152057593861/mIjaY78H_normal.jpg</v>
      </c>
      <c r="AW72" s="74" t="s">
        <v>1089</v>
      </c>
      <c r="AX72" s="74" t="s">
        <v>1140</v>
      </c>
      <c r="AY72" s="74" t="s">
        <v>1323</v>
      </c>
      <c r="AZ72" s="74" t="s">
        <v>1140</v>
      </c>
      <c r="BA72" s="74" t="s">
        <v>1384</v>
      </c>
      <c r="BB72" s="74" t="s">
        <v>1384</v>
      </c>
      <c r="BC72" s="74" t="s">
        <v>1140</v>
      </c>
      <c r="BD72" s="74" t="s">
        <v>1429</v>
      </c>
      <c r="BJ72" s="44">
        <v>4</v>
      </c>
      <c r="BK72" s="45">
        <v>26.666666666666668</v>
      </c>
      <c r="BL72" s="44">
        <v>0</v>
      </c>
      <c r="BM72" s="45">
        <v>0</v>
      </c>
      <c r="BN72" s="44">
        <v>0</v>
      </c>
      <c r="BO72" s="45">
        <v>0</v>
      </c>
      <c r="BP72" s="44">
        <v>11</v>
      </c>
      <c r="BQ72" s="45">
        <v>73.33333333333333</v>
      </c>
      <c r="BR72" s="44">
        <v>15</v>
      </c>
      <c r="BS72">
        <v>8</v>
      </c>
      <c r="BT72" s="112" t="str">
        <f>REPLACE(INDEX(GroupVertices[Group],MATCH("~"&amp;Edges37[[#This Row],[Vertex 1]],GroupVertices[Vertex],0)),1,1,"")</f>
        <v>12</v>
      </c>
      <c r="BU72" s="112" t="str">
        <f>REPLACE(INDEX(GroupVertices[Group],MATCH("~"&amp;Edges37[[#This Row],[Vertex 2]],GroupVertices[Vertex],0)),1,1,"")</f>
        <v>12</v>
      </c>
    </row>
    <row r="73" spans="1:73" ht="15">
      <c r="A73" s="59" t="s">
        <v>261</v>
      </c>
      <c r="B73" s="59" t="s">
        <v>261</v>
      </c>
      <c r="C73" s="60"/>
      <c r="D73" s="61"/>
      <c r="E73" s="62"/>
      <c r="F73" s="63"/>
      <c r="G73" s="60"/>
      <c r="H73" s="64"/>
      <c r="I73" s="65"/>
      <c r="J73" s="65"/>
      <c r="K73" s="30" t="s">
        <v>65</v>
      </c>
      <c r="L73" s="72">
        <v>86</v>
      </c>
      <c r="M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3" s="67"/>
      <c r="O73" t="s">
        <v>177</v>
      </c>
      <c r="P73" s="73">
        <v>44573.44085648148</v>
      </c>
      <c r="Q73" t="s">
        <v>555</v>
      </c>
      <c r="R73">
        <v>12</v>
      </c>
      <c r="S73">
        <v>33</v>
      </c>
      <c r="T73">
        <v>2</v>
      </c>
      <c r="U73">
        <v>1</v>
      </c>
      <c r="X73"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73" t="s">
        <v>714</v>
      </c>
      <c r="AC73" s="74" t="s">
        <v>787</v>
      </c>
      <c r="AD73" t="s">
        <v>794</v>
      </c>
      <c r="AE73" s="75" t="str">
        <f>HYPERLINK("https://twitter.com/dennyindrayana/status/1481213070253129728")</f>
        <v>https://twitter.com/dennyindrayana/status/1481213070253129728</v>
      </c>
      <c r="AF73" s="73">
        <v>44573.44085648148</v>
      </c>
      <c r="AG73" s="77">
        <v>44573</v>
      </c>
      <c r="AH73" s="74" t="s">
        <v>869</v>
      </c>
      <c r="AI73" t="b">
        <v>0</v>
      </c>
      <c r="AV73" s="75" t="str">
        <f>HYPERLINK("https://pbs.twimg.com/profile_images/1568833724875440135/cICvlWFp_normal.jpg")</f>
        <v>https://pbs.twimg.com/profile_images/1568833724875440135/cICvlWFp_normal.jpg</v>
      </c>
      <c r="AW73" s="74" t="s">
        <v>1090</v>
      </c>
      <c r="AX73" s="74" t="s">
        <v>1090</v>
      </c>
      <c r="AZ73" s="74" t="s">
        <v>1384</v>
      </c>
      <c r="BA73" s="74" t="s">
        <v>1384</v>
      </c>
      <c r="BB73" s="74" t="s">
        <v>1384</v>
      </c>
      <c r="BC73" s="74" t="s">
        <v>1090</v>
      </c>
      <c r="BD73">
        <v>122804908</v>
      </c>
      <c r="BJ73" s="44">
        <v>5</v>
      </c>
      <c r="BK73" s="45">
        <v>20</v>
      </c>
      <c r="BL73" s="44">
        <v>1</v>
      </c>
      <c r="BM73" s="45">
        <v>4</v>
      </c>
      <c r="BN73" s="44">
        <v>0</v>
      </c>
      <c r="BO73" s="45">
        <v>0</v>
      </c>
      <c r="BP73" s="44">
        <v>18</v>
      </c>
      <c r="BQ73" s="45">
        <v>72</v>
      </c>
      <c r="BR73" s="44">
        <v>25</v>
      </c>
      <c r="BS73">
        <v>8</v>
      </c>
      <c r="BT73" s="112" t="str">
        <f>REPLACE(INDEX(GroupVertices[Group],MATCH("~"&amp;Edges37[[#This Row],[Vertex 1]],GroupVertices[Vertex],0)),1,1,"")</f>
        <v>11</v>
      </c>
      <c r="BU73" s="112" t="str">
        <f>REPLACE(INDEX(GroupVertices[Group],MATCH("~"&amp;Edges37[[#This Row],[Vertex 2]],GroupVertices[Vertex],0)),1,1,"")</f>
        <v>11</v>
      </c>
    </row>
    <row r="74" spans="1:73" ht="15">
      <c r="A74" s="59" t="s">
        <v>262</v>
      </c>
      <c r="B74" s="59" t="s">
        <v>261</v>
      </c>
      <c r="C74" s="60"/>
      <c r="D74" s="61"/>
      <c r="E74" s="62"/>
      <c r="F74" s="63"/>
      <c r="G74" s="60"/>
      <c r="H74" s="64"/>
      <c r="I74" s="65"/>
      <c r="J74" s="65"/>
      <c r="K74" s="30" t="s">
        <v>65</v>
      </c>
      <c r="L74" s="72">
        <v>87</v>
      </c>
      <c r="M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4" s="67"/>
      <c r="O74" t="s">
        <v>484</v>
      </c>
      <c r="P74" s="73">
        <v>44573.4444212963</v>
      </c>
      <c r="Q74" t="s">
        <v>556</v>
      </c>
      <c r="R74">
        <v>0</v>
      </c>
      <c r="S74">
        <v>0</v>
      </c>
      <c r="T74">
        <v>0</v>
      </c>
      <c r="U74">
        <v>0</v>
      </c>
      <c r="W74" s="74" t="s">
        <v>682</v>
      </c>
      <c r="AA74" t="s">
        <v>768</v>
      </c>
      <c r="AB74" t="s">
        <v>784</v>
      </c>
      <c r="AC74" s="74" t="s">
        <v>787</v>
      </c>
      <c r="AD74" t="s">
        <v>794</v>
      </c>
      <c r="AE74" s="75" t="str">
        <f>HYPERLINK("https://twitter.com/vandinnie/status/1481214364896346112")</f>
        <v>https://twitter.com/vandinnie/status/1481214364896346112</v>
      </c>
      <c r="AF74" s="73">
        <v>44573.4444212963</v>
      </c>
      <c r="AG74" s="77">
        <v>44573</v>
      </c>
      <c r="AH74" s="74" t="s">
        <v>870</v>
      </c>
      <c r="AI74" t="b">
        <v>0</v>
      </c>
      <c r="AQ74" t="s">
        <v>1006</v>
      </c>
      <c r="AR74">
        <v>23033</v>
      </c>
      <c r="AV74" s="75" t="str">
        <f>HYPERLINK("https://pbs.twimg.com/ext_tw_video_thumb/1481214292691394566/pu/img/hv3TjHLTiL8hT7VF.jpg")</f>
        <v>https://pbs.twimg.com/ext_tw_video_thumb/1481214292691394566/pu/img/hv3TjHLTiL8hT7VF.jpg</v>
      </c>
      <c r="AW74" s="74" t="s">
        <v>1091</v>
      </c>
      <c r="AX74" s="74" t="s">
        <v>1091</v>
      </c>
      <c r="AZ74" s="74" t="s">
        <v>1384</v>
      </c>
      <c r="BA74" s="74" t="s">
        <v>1090</v>
      </c>
      <c r="BB74" s="74" t="s">
        <v>1384</v>
      </c>
      <c r="BC74" s="74" t="s">
        <v>1090</v>
      </c>
      <c r="BD74" s="74" t="s">
        <v>1430</v>
      </c>
      <c r="BJ74" s="44">
        <v>1</v>
      </c>
      <c r="BK74" s="45">
        <v>6.25</v>
      </c>
      <c r="BL74" s="44">
        <v>2</v>
      </c>
      <c r="BM74" s="45">
        <v>12.5</v>
      </c>
      <c r="BN74" s="44">
        <v>0</v>
      </c>
      <c r="BO74" s="45">
        <v>0</v>
      </c>
      <c r="BP74" s="44">
        <v>13</v>
      </c>
      <c r="BQ74" s="45">
        <v>81.25</v>
      </c>
      <c r="BR74" s="44">
        <v>16</v>
      </c>
      <c r="BS74">
        <v>1</v>
      </c>
      <c r="BT74" s="112" t="str">
        <f>REPLACE(INDEX(GroupVertices[Group],MATCH("~"&amp;Edges37[[#This Row],[Vertex 1]],GroupVertices[Vertex],0)),1,1,"")</f>
        <v>11</v>
      </c>
      <c r="BU74" s="112" t="str">
        <f>REPLACE(INDEX(GroupVertices[Group],MATCH("~"&amp;Edges37[[#This Row],[Vertex 2]],GroupVertices[Vertex],0)),1,1,"")</f>
        <v>11</v>
      </c>
    </row>
    <row r="75" spans="1:73" ht="15">
      <c r="A75" s="59" t="s">
        <v>262</v>
      </c>
      <c r="B75" s="59" t="s">
        <v>262</v>
      </c>
      <c r="C75" s="60"/>
      <c r="D75" s="61"/>
      <c r="E75" s="62"/>
      <c r="F75" s="63"/>
      <c r="G75" s="60"/>
      <c r="H75" s="64"/>
      <c r="I75" s="65"/>
      <c r="J75" s="65"/>
      <c r="K75" s="30" t="s">
        <v>65</v>
      </c>
      <c r="L75" s="72">
        <v>88</v>
      </c>
      <c r="M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5" s="67"/>
      <c r="O75" t="s">
        <v>177</v>
      </c>
      <c r="P75" s="73">
        <v>44540.49451388889</v>
      </c>
      <c r="Q75" t="s">
        <v>557</v>
      </c>
      <c r="R75">
        <v>2</v>
      </c>
      <c r="S75">
        <v>4</v>
      </c>
      <c r="T75">
        <v>0</v>
      </c>
      <c r="U75">
        <v>0</v>
      </c>
      <c r="W75" s="74" t="s">
        <v>691</v>
      </c>
      <c r="AA75" t="s">
        <v>769</v>
      </c>
      <c r="AB75" t="s">
        <v>783</v>
      </c>
      <c r="AC75" s="74" t="s">
        <v>787</v>
      </c>
      <c r="AD75" t="s">
        <v>794</v>
      </c>
      <c r="AE75" s="75" t="str">
        <f>HYPERLINK("https://twitter.com/vandinnie/status/1469273715389075456")</f>
        <v>https://twitter.com/vandinnie/status/1469273715389075456</v>
      </c>
      <c r="AF75" s="73">
        <v>44540.49451388889</v>
      </c>
      <c r="AG75" s="77">
        <v>44540</v>
      </c>
      <c r="AH75" s="74" t="s">
        <v>871</v>
      </c>
      <c r="AI75" t="b">
        <v>0</v>
      </c>
      <c r="AQ75" t="s">
        <v>1007</v>
      </c>
      <c r="AV75" s="75" t="str">
        <f>HYPERLINK("https://pbs.twimg.com/media/FGPopCrUUAECI3u.jpg")</f>
        <v>https://pbs.twimg.com/media/FGPopCrUUAECI3u.jpg</v>
      </c>
      <c r="AW75" s="74" t="s">
        <v>1092</v>
      </c>
      <c r="AX75" s="74" t="s">
        <v>1092</v>
      </c>
      <c r="AZ75" s="74" t="s">
        <v>1384</v>
      </c>
      <c r="BA75" s="74" t="s">
        <v>1384</v>
      </c>
      <c r="BB75" s="74" t="s">
        <v>1384</v>
      </c>
      <c r="BC75" s="74" t="s">
        <v>1092</v>
      </c>
      <c r="BD75" s="74" t="s">
        <v>1430</v>
      </c>
      <c r="BJ75" s="44">
        <v>4</v>
      </c>
      <c r="BK75" s="45">
        <v>14.285714285714286</v>
      </c>
      <c r="BL75" s="44">
        <v>1</v>
      </c>
      <c r="BM75" s="45">
        <v>3.5714285714285716</v>
      </c>
      <c r="BN75" s="44">
        <v>0</v>
      </c>
      <c r="BO75" s="45">
        <v>0</v>
      </c>
      <c r="BP75" s="44">
        <v>23</v>
      </c>
      <c r="BQ75" s="45">
        <v>82.14285714285714</v>
      </c>
      <c r="BR75" s="44">
        <v>28</v>
      </c>
      <c r="BS75">
        <v>64</v>
      </c>
      <c r="BT75" s="112" t="str">
        <f>REPLACE(INDEX(GroupVertices[Group],MATCH("~"&amp;Edges37[[#This Row],[Vertex 1]],GroupVertices[Vertex],0)),1,1,"")</f>
        <v>11</v>
      </c>
      <c r="BU75" s="112" t="str">
        <f>REPLACE(INDEX(GroupVertices[Group],MATCH("~"&amp;Edges37[[#This Row],[Vertex 2]],GroupVertices[Vertex],0)),1,1,"")</f>
        <v>11</v>
      </c>
    </row>
    <row r="76" spans="1:73" ht="15">
      <c r="A76" s="59" t="s">
        <v>262</v>
      </c>
      <c r="B76" s="59" t="s">
        <v>341</v>
      </c>
      <c r="C76" s="60"/>
      <c r="D76" s="61"/>
      <c r="E76" s="62"/>
      <c r="F76" s="63"/>
      <c r="G76" s="60"/>
      <c r="H76" s="64"/>
      <c r="I76" s="65"/>
      <c r="J76" s="65"/>
      <c r="K76" s="30" t="s">
        <v>65</v>
      </c>
      <c r="L76" s="72">
        <v>89</v>
      </c>
      <c r="M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6" s="67"/>
      <c r="O76" t="s">
        <v>484</v>
      </c>
      <c r="P76" s="73">
        <v>44572.18104166666</v>
      </c>
      <c r="Q76" t="s">
        <v>558</v>
      </c>
      <c r="R76">
        <v>1</v>
      </c>
      <c r="S76">
        <v>3</v>
      </c>
      <c r="T76">
        <v>0</v>
      </c>
      <c r="U76">
        <v>0</v>
      </c>
      <c r="W76" s="74" t="s">
        <v>692</v>
      </c>
      <c r="AC76" s="74" t="s">
        <v>787</v>
      </c>
      <c r="AD76" t="s">
        <v>795</v>
      </c>
      <c r="AE76" s="75" t="str">
        <f>HYPERLINK("https://twitter.com/vandinnie/status/1480756529326280705")</f>
        <v>https://twitter.com/vandinnie/status/1480756529326280705</v>
      </c>
      <c r="AF76" s="73">
        <v>44572.18104166666</v>
      </c>
      <c r="AG76" s="77">
        <v>44572</v>
      </c>
      <c r="AH76" s="74" t="s">
        <v>872</v>
      </c>
      <c r="AV76" s="75" t="str">
        <f>HYPERLINK("https://pbs.twimg.com/profile_images/1685494956864180224/Y08DGzcI_normal.jpg")</f>
        <v>https://pbs.twimg.com/profile_images/1685494956864180224/Y08DGzcI_normal.jpg</v>
      </c>
      <c r="AW76" s="74" t="s">
        <v>1093</v>
      </c>
      <c r="AX76" s="74" t="s">
        <v>1093</v>
      </c>
      <c r="AZ76" s="74" t="s">
        <v>1384</v>
      </c>
      <c r="BA76" s="74" t="s">
        <v>1223</v>
      </c>
      <c r="BB76" s="74" t="s">
        <v>1384</v>
      </c>
      <c r="BC76" s="74" t="s">
        <v>1223</v>
      </c>
      <c r="BD76" s="74" t="s">
        <v>1430</v>
      </c>
      <c r="BJ76" s="44">
        <v>0</v>
      </c>
      <c r="BK76" s="45">
        <v>0</v>
      </c>
      <c r="BL76" s="44">
        <v>0</v>
      </c>
      <c r="BM76" s="45">
        <v>0</v>
      </c>
      <c r="BN76" s="44">
        <v>0</v>
      </c>
      <c r="BO76" s="45">
        <v>0</v>
      </c>
      <c r="BP76" s="44">
        <v>2</v>
      </c>
      <c r="BQ76" s="45">
        <v>100</v>
      </c>
      <c r="BR76" s="44">
        <v>2</v>
      </c>
      <c r="BS76">
        <v>1</v>
      </c>
      <c r="BT76" s="112" t="str">
        <f>REPLACE(INDEX(GroupVertices[Group],MATCH("~"&amp;Edges37[[#This Row],[Vertex 1]],GroupVertices[Vertex],0)),1,1,"")</f>
        <v>11</v>
      </c>
      <c r="BU76" s="112" t="str">
        <f>REPLACE(INDEX(GroupVertices[Group],MATCH("~"&amp;Edges37[[#This Row],[Vertex 2]],GroupVertices[Vertex],0)),1,1,"")</f>
        <v>6</v>
      </c>
    </row>
    <row r="77" spans="1:73" ht="15">
      <c r="A77" s="59" t="s">
        <v>262</v>
      </c>
      <c r="B77" s="59" t="s">
        <v>314</v>
      </c>
      <c r="C77" s="60"/>
      <c r="D77" s="61"/>
      <c r="E77" s="62"/>
      <c r="F77" s="63"/>
      <c r="G77" s="60"/>
      <c r="H77" s="64"/>
      <c r="I77" s="65"/>
      <c r="J77" s="65"/>
      <c r="K77" s="30" t="s">
        <v>65</v>
      </c>
      <c r="L77" s="72">
        <v>90</v>
      </c>
      <c r="M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7" s="67"/>
      <c r="O77" t="s">
        <v>484</v>
      </c>
      <c r="P77" s="73">
        <v>44579.2509375</v>
      </c>
      <c r="Q77" t="s">
        <v>559</v>
      </c>
      <c r="R77">
        <v>0</v>
      </c>
      <c r="S77">
        <v>0</v>
      </c>
      <c r="T77">
        <v>0</v>
      </c>
      <c r="U77">
        <v>0</v>
      </c>
      <c r="W77" s="74" t="s">
        <v>693</v>
      </c>
      <c r="AC77" s="74" t="s">
        <v>787</v>
      </c>
      <c r="AD77" t="s">
        <v>794</v>
      </c>
      <c r="AE77" s="75" t="str">
        <f>HYPERLINK("https://twitter.com/vandinnie/status/1483318576337793025")</f>
        <v>https://twitter.com/vandinnie/status/1483318576337793025</v>
      </c>
      <c r="AF77" s="73">
        <v>44579.2509375</v>
      </c>
      <c r="AG77" s="77">
        <v>44579</v>
      </c>
      <c r="AH77" s="74" t="s">
        <v>873</v>
      </c>
      <c r="AV77" s="75" t="str">
        <f>HYPERLINK("https://pbs.twimg.com/profile_images/1685494956864180224/Y08DGzcI_normal.jpg")</f>
        <v>https://pbs.twimg.com/profile_images/1685494956864180224/Y08DGzcI_normal.jpg</v>
      </c>
      <c r="AW77" s="74" t="s">
        <v>1094</v>
      </c>
      <c r="AX77" s="74" t="s">
        <v>1094</v>
      </c>
      <c r="AZ77" s="74" t="s">
        <v>1384</v>
      </c>
      <c r="BA77" s="74" t="s">
        <v>1173</v>
      </c>
      <c r="BB77" s="74" t="s">
        <v>1384</v>
      </c>
      <c r="BC77" s="74" t="s">
        <v>1173</v>
      </c>
      <c r="BD77" s="74" t="s">
        <v>1430</v>
      </c>
      <c r="BJ77" s="44">
        <v>4</v>
      </c>
      <c r="BK77" s="45">
        <v>40</v>
      </c>
      <c r="BL77" s="44">
        <v>0</v>
      </c>
      <c r="BM77" s="45">
        <v>0</v>
      </c>
      <c r="BN77" s="44">
        <v>0</v>
      </c>
      <c r="BO77" s="45">
        <v>0</v>
      </c>
      <c r="BP77" s="44">
        <v>6</v>
      </c>
      <c r="BQ77" s="45">
        <v>60</v>
      </c>
      <c r="BR77" s="44">
        <v>10</v>
      </c>
      <c r="BS77">
        <v>1</v>
      </c>
      <c r="BT77" s="112" t="str">
        <f>REPLACE(INDEX(GroupVertices[Group],MATCH("~"&amp;Edges37[[#This Row],[Vertex 1]],GroupVertices[Vertex],0)),1,1,"")</f>
        <v>11</v>
      </c>
      <c r="BU77" s="112" t="str">
        <f>REPLACE(INDEX(GroupVertices[Group],MATCH("~"&amp;Edges37[[#This Row],[Vertex 2]],GroupVertices[Vertex],0)),1,1,"")</f>
        <v>11</v>
      </c>
    </row>
    <row r="78" spans="1:73" ht="15">
      <c r="A78" s="59" t="s">
        <v>263</v>
      </c>
      <c r="B78" s="59" t="s">
        <v>328</v>
      </c>
      <c r="C78" s="60"/>
      <c r="D78" s="61"/>
      <c r="E78" s="62"/>
      <c r="F78" s="63"/>
      <c r="G78" s="60"/>
      <c r="H78" s="64"/>
      <c r="I78" s="65"/>
      <c r="J78" s="65"/>
      <c r="K78" s="30" t="s">
        <v>65</v>
      </c>
      <c r="L78" s="72">
        <v>91</v>
      </c>
      <c r="M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8" s="67"/>
      <c r="O78" t="s">
        <v>482</v>
      </c>
      <c r="P78" s="73">
        <v>44859.659212962964</v>
      </c>
      <c r="Q78" t="s">
        <v>560</v>
      </c>
      <c r="R78">
        <v>0</v>
      </c>
      <c r="S78">
        <v>0</v>
      </c>
      <c r="T78">
        <v>0</v>
      </c>
      <c r="U78">
        <v>0</v>
      </c>
      <c r="Z78" t="s">
        <v>328</v>
      </c>
      <c r="AC78" s="74" t="s">
        <v>787</v>
      </c>
      <c r="AD78" t="s">
        <v>794</v>
      </c>
      <c r="AE78" s="75" t="str">
        <f>HYPERLINK("https://twitter.com/selamanyamulyo/status/1584935131927957504")</f>
        <v>https://twitter.com/selamanyamulyo/status/1584935131927957504</v>
      </c>
      <c r="AF78" s="73">
        <v>44859.659212962964</v>
      </c>
      <c r="AG78" s="77">
        <v>44859</v>
      </c>
      <c r="AH78" s="74" t="s">
        <v>874</v>
      </c>
      <c r="AV78" s="75" t="str">
        <f>HYPERLINK("https://abs.twimg.com/sticky/default_profile_images/default_profile_normal.png")</f>
        <v>https://abs.twimg.com/sticky/default_profile_images/default_profile_normal.png</v>
      </c>
      <c r="AW78" s="74" t="s">
        <v>1095</v>
      </c>
      <c r="AX78" s="74" t="s">
        <v>1268</v>
      </c>
      <c r="AY78" s="74" t="s">
        <v>1318</v>
      </c>
      <c r="AZ78" s="74" t="s">
        <v>1268</v>
      </c>
      <c r="BA78" s="74" t="s">
        <v>1384</v>
      </c>
      <c r="BB78" s="74" t="s">
        <v>1384</v>
      </c>
      <c r="BC78" s="74" t="s">
        <v>1268</v>
      </c>
      <c r="BD78" s="74" t="s">
        <v>1431</v>
      </c>
      <c r="BJ78" s="44">
        <v>4</v>
      </c>
      <c r="BK78" s="45">
        <v>25</v>
      </c>
      <c r="BL78" s="44">
        <v>0</v>
      </c>
      <c r="BM78" s="45">
        <v>0</v>
      </c>
      <c r="BN78" s="44">
        <v>0</v>
      </c>
      <c r="BO78" s="45">
        <v>0</v>
      </c>
      <c r="BP78" s="44">
        <v>12</v>
      </c>
      <c r="BQ78" s="45">
        <v>75</v>
      </c>
      <c r="BR78" s="44">
        <v>16</v>
      </c>
      <c r="BS78">
        <v>1</v>
      </c>
      <c r="BT78" s="112" t="str">
        <f>REPLACE(INDEX(GroupVertices[Group],MATCH("~"&amp;Edges37[[#This Row],[Vertex 1]],GroupVertices[Vertex],0)),1,1,"")</f>
        <v>19</v>
      </c>
      <c r="BU78" s="112" t="str">
        <f>REPLACE(INDEX(GroupVertices[Group],MATCH("~"&amp;Edges37[[#This Row],[Vertex 2]],GroupVertices[Vertex],0)),1,1,"")</f>
        <v>19</v>
      </c>
    </row>
    <row r="79" spans="1:73" ht="15">
      <c r="A79" s="59" t="s">
        <v>264</v>
      </c>
      <c r="B79" s="59" t="s">
        <v>379</v>
      </c>
      <c r="C79" s="60"/>
      <c r="D79" s="61"/>
      <c r="E79" s="62"/>
      <c r="F79" s="63"/>
      <c r="G79" s="60"/>
      <c r="H79" s="64"/>
      <c r="I79" s="65"/>
      <c r="J79" s="65"/>
      <c r="K79" s="30" t="s">
        <v>65</v>
      </c>
      <c r="L79" s="72">
        <v>92</v>
      </c>
      <c r="M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9" s="67"/>
      <c r="O79" t="s">
        <v>483</v>
      </c>
      <c r="P79" s="73">
        <v>45147.72190972222</v>
      </c>
      <c r="Q79" t="s">
        <v>561</v>
      </c>
      <c r="R79">
        <v>0</v>
      </c>
      <c r="S79">
        <v>0</v>
      </c>
      <c r="T79">
        <v>0</v>
      </c>
      <c r="U79">
        <v>0</v>
      </c>
      <c r="V79">
        <v>5</v>
      </c>
      <c r="Z79" t="s">
        <v>738</v>
      </c>
      <c r="AC79" s="74" t="s">
        <v>787</v>
      </c>
      <c r="AD79" t="s">
        <v>794</v>
      </c>
      <c r="AE79" s="75" t="str">
        <f>HYPERLINK("https://twitter.com/maknyinyik/status/1689325558642221056")</f>
        <v>https://twitter.com/maknyinyik/status/1689325558642221056</v>
      </c>
      <c r="AF79" s="73">
        <v>45147.72190972222</v>
      </c>
      <c r="AG79" s="77">
        <v>45147</v>
      </c>
      <c r="AH79" s="74" t="s">
        <v>875</v>
      </c>
      <c r="AV79" s="75" t="str">
        <f>HYPERLINK("https://pbs.twimg.com/profile_images/1604770180844097538/-ru78odx_normal.jpg")</f>
        <v>https://pbs.twimg.com/profile_images/1604770180844097538/-ru78odx_normal.jpg</v>
      </c>
      <c r="AW79" s="74" t="s">
        <v>1096</v>
      </c>
      <c r="AX79" s="74" t="s">
        <v>1269</v>
      </c>
      <c r="AY79" s="74" t="s">
        <v>1347</v>
      </c>
      <c r="AZ79" s="74" t="s">
        <v>1390</v>
      </c>
      <c r="BA79" s="74" t="s">
        <v>1384</v>
      </c>
      <c r="BB79" s="74" t="s">
        <v>1384</v>
      </c>
      <c r="BC79" s="74" t="s">
        <v>1390</v>
      </c>
      <c r="BD79" s="74" t="s">
        <v>1432</v>
      </c>
      <c r="BJ79" s="44"/>
      <c r="BK79" s="45"/>
      <c r="BL79" s="44"/>
      <c r="BM79" s="45"/>
      <c r="BN79" s="44"/>
      <c r="BO79" s="45"/>
      <c r="BP79" s="44"/>
      <c r="BQ79" s="45"/>
      <c r="BR79" s="44"/>
      <c r="BS79">
        <v>1</v>
      </c>
      <c r="BT79" s="112" t="str">
        <f>REPLACE(INDEX(GroupVertices[Group],MATCH("~"&amp;Edges37[[#This Row],[Vertex 1]],GroupVertices[Vertex],0)),1,1,"")</f>
        <v>21</v>
      </c>
      <c r="BU79" s="112" t="str">
        <f>REPLACE(INDEX(GroupVertices[Group],MATCH("~"&amp;Edges37[[#This Row],[Vertex 2]],GroupVertices[Vertex],0)),1,1,"")</f>
        <v>21</v>
      </c>
    </row>
    <row r="80" spans="1:73" ht="15">
      <c r="A80" s="59" t="s">
        <v>265</v>
      </c>
      <c r="B80" s="59" t="s">
        <v>381</v>
      </c>
      <c r="C80" s="60"/>
      <c r="D80" s="61"/>
      <c r="E80" s="62"/>
      <c r="F80" s="63"/>
      <c r="G80" s="60"/>
      <c r="H80" s="64"/>
      <c r="I80" s="65"/>
      <c r="J80" s="65"/>
      <c r="K80" s="30" t="s">
        <v>65</v>
      </c>
      <c r="L80" s="72">
        <v>94</v>
      </c>
      <c r="M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0" s="67"/>
      <c r="O80" t="s">
        <v>482</v>
      </c>
      <c r="P80" s="73">
        <v>44550.106307870374</v>
      </c>
      <c r="Q80" t="s">
        <v>562</v>
      </c>
      <c r="R80">
        <v>0</v>
      </c>
      <c r="S80">
        <v>0</v>
      </c>
      <c r="T80">
        <v>1</v>
      </c>
      <c r="U80">
        <v>0</v>
      </c>
      <c r="AC80" s="74" t="s">
        <v>787</v>
      </c>
      <c r="AD80" t="s">
        <v>794</v>
      </c>
      <c r="AE80" s="75" t="str">
        <f>HYPERLINK("https://twitter.com/ahmadmuda19/status/1472756912701599745")</f>
        <v>https://twitter.com/ahmadmuda19/status/1472756912701599745</v>
      </c>
      <c r="AF80" s="73">
        <v>44550.106307870374</v>
      </c>
      <c r="AG80" s="77">
        <v>44550</v>
      </c>
      <c r="AH80" s="74" t="s">
        <v>876</v>
      </c>
      <c r="AV80" s="75" t="str">
        <f>HYPERLINK("https://pbs.twimg.com/profile_images/1332673855308013568/LPphjciL_normal.jpg")</f>
        <v>https://pbs.twimg.com/profile_images/1332673855308013568/LPphjciL_normal.jpg</v>
      </c>
      <c r="AW80" s="74" t="s">
        <v>1097</v>
      </c>
      <c r="AX80" s="74" t="s">
        <v>1270</v>
      </c>
      <c r="AY80" s="74" t="s">
        <v>1348</v>
      </c>
      <c r="AZ80" s="74" t="s">
        <v>1270</v>
      </c>
      <c r="BA80" s="74" t="s">
        <v>1384</v>
      </c>
      <c r="BB80" s="74" t="s">
        <v>1384</v>
      </c>
      <c r="BC80" s="74" t="s">
        <v>1270</v>
      </c>
      <c r="BD80" s="74" t="s">
        <v>1433</v>
      </c>
      <c r="BJ80" s="44">
        <v>6</v>
      </c>
      <c r="BK80" s="45">
        <v>33.333333333333336</v>
      </c>
      <c r="BL80" s="44">
        <v>0</v>
      </c>
      <c r="BM80" s="45">
        <v>0</v>
      </c>
      <c r="BN80" s="44">
        <v>0</v>
      </c>
      <c r="BO80" s="45">
        <v>0</v>
      </c>
      <c r="BP80" s="44">
        <v>12</v>
      </c>
      <c r="BQ80" s="45">
        <v>66.66666666666667</v>
      </c>
      <c r="BR80" s="44">
        <v>18</v>
      </c>
      <c r="BS80">
        <v>1</v>
      </c>
      <c r="BT80" s="112" t="str">
        <f>REPLACE(INDEX(GroupVertices[Group],MATCH("~"&amp;Edges37[[#This Row],[Vertex 1]],GroupVertices[Vertex],0)),1,1,"")</f>
        <v>35</v>
      </c>
      <c r="BU80" s="112" t="str">
        <f>REPLACE(INDEX(GroupVertices[Group],MATCH("~"&amp;Edges37[[#This Row],[Vertex 2]],GroupVertices[Vertex],0)),1,1,"")</f>
        <v>35</v>
      </c>
    </row>
    <row r="81" spans="1:73" ht="15">
      <c r="A81" s="59" t="s">
        <v>266</v>
      </c>
      <c r="B81" s="59" t="s">
        <v>382</v>
      </c>
      <c r="C81" s="60"/>
      <c r="D81" s="61"/>
      <c r="E81" s="62"/>
      <c r="F81" s="63"/>
      <c r="G81" s="60"/>
      <c r="H81" s="64"/>
      <c r="I81" s="65"/>
      <c r="J81" s="65"/>
      <c r="K81" s="30" t="s">
        <v>65</v>
      </c>
      <c r="L81" s="72">
        <v>95</v>
      </c>
      <c r="M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1" s="67"/>
      <c r="O81" t="s">
        <v>482</v>
      </c>
      <c r="P81" s="73">
        <v>44832.498032407406</v>
      </c>
      <c r="Q81" t="s">
        <v>563</v>
      </c>
      <c r="R81">
        <v>0</v>
      </c>
      <c r="S81">
        <v>0</v>
      </c>
      <c r="T81">
        <v>0</v>
      </c>
      <c r="U81">
        <v>0</v>
      </c>
      <c r="Z81" t="s">
        <v>382</v>
      </c>
      <c r="AC81" s="74" t="s">
        <v>787</v>
      </c>
      <c r="AD81" t="s">
        <v>794</v>
      </c>
      <c r="AE81" s="75" t="str">
        <f>HYPERLINK("https://twitter.com/takon_wong/status/1575092246734512129")</f>
        <v>https://twitter.com/takon_wong/status/1575092246734512129</v>
      </c>
      <c r="AF81" s="73">
        <v>44832.498032407406</v>
      </c>
      <c r="AG81" s="77">
        <v>44832</v>
      </c>
      <c r="AH81" s="74" t="s">
        <v>877</v>
      </c>
      <c r="AV81" s="75" t="str">
        <f>HYPERLINK("https://pbs.twimg.com/profile_images/1399507854726352900/o8qYsw4y_normal.jpg")</f>
        <v>https://pbs.twimg.com/profile_images/1399507854726352900/o8qYsw4y_normal.jpg</v>
      </c>
      <c r="AW81" s="74" t="s">
        <v>1098</v>
      </c>
      <c r="AX81" s="74" t="s">
        <v>1271</v>
      </c>
      <c r="AY81" s="74" t="s">
        <v>1349</v>
      </c>
      <c r="AZ81" s="74" t="s">
        <v>1271</v>
      </c>
      <c r="BA81" s="74" t="s">
        <v>1384</v>
      </c>
      <c r="BB81" s="74" t="s">
        <v>1384</v>
      </c>
      <c r="BC81" s="74" t="s">
        <v>1271</v>
      </c>
      <c r="BD81" s="74" t="s">
        <v>1434</v>
      </c>
      <c r="BJ81" s="44">
        <v>3</v>
      </c>
      <c r="BK81" s="45">
        <v>15.789473684210526</v>
      </c>
      <c r="BL81" s="44">
        <v>1</v>
      </c>
      <c r="BM81" s="45">
        <v>5.2631578947368425</v>
      </c>
      <c r="BN81" s="44">
        <v>0</v>
      </c>
      <c r="BO81" s="45">
        <v>0</v>
      </c>
      <c r="BP81" s="44">
        <v>15</v>
      </c>
      <c r="BQ81" s="45">
        <v>78.94736842105263</v>
      </c>
      <c r="BR81" s="44">
        <v>19</v>
      </c>
      <c r="BS81">
        <v>1</v>
      </c>
      <c r="BT81" s="112" t="str">
        <f>REPLACE(INDEX(GroupVertices[Group],MATCH("~"&amp;Edges37[[#This Row],[Vertex 1]],GroupVertices[Vertex],0)),1,1,"")</f>
        <v>36</v>
      </c>
      <c r="BU81" s="112" t="str">
        <f>REPLACE(INDEX(GroupVertices[Group],MATCH("~"&amp;Edges37[[#This Row],[Vertex 2]],GroupVertices[Vertex],0)),1,1,"")</f>
        <v>36</v>
      </c>
    </row>
    <row r="82" spans="1:73" ht="15">
      <c r="A82" s="59" t="s">
        <v>267</v>
      </c>
      <c r="B82" s="59" t="s">
        <v>267</v>
      </c>
      <c r="C82" s="60"/>
      <c r="D82" s="61"/>
      <c r="E82" s="62"/>
      <c r="F82" s="63"/>
      <c r="G82" s="60"/>
      <c r="H82" s="64"/>
      <c r="I82" s="65"/>
      <c r="J82" s="65"/>
      <c r="K82" s="30" t="s">
        <v>65</v>
      </c>
      <c r="L82" s="72">
        <v>96</v>
      </c>
      <c r="M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2" s="67"/>
      <c r="O82" t="s">
        <v>177</v>
      </c>
      <c r="P82" s="73">
        <v>44539.809849537036</v>
      </c>
      <c r="Q82" t="s">
        <v>564</v>
      </c>
      <c r="R82">
        <v>0</v>
      </c>
      <c r="S82">
        <v>0</v>
      </c>
      <c r="T82">
        <v>0</v>
      </c>
      <c r="U82">
        <v>0</v>
      </c>
      <c r="X82" s="75" t="str">
        <f>HYPERLINK("https://www.dailynewsindonesia.com/news/daftarkan-gugatan-pt-ke-mk-refly-harun-salam-nol-persen/")</f>
        <v>https://www.dailynewsindonesia.com/news/daftarkan-gugatan-pt-ke-mk-refly-harun-salam-nol-persen/</v>
      </c>
      <c r="Y82" t="s">
        <v>715</v>
      </c>
      <c r="AC82" s="74" t="s">
        <v>790</v>
      </c>
      <c r="AD82" t="s">
        <v>794</v>
      </c>
      <c r="AE82" s="75" t="str">
        <f>HYPERLINK("https://twitter.com/dniupdate/status/1469025602086838274")</f>
        <v>https://twitter.com/dniupdate/status/1469025602086838274</v>
      </c>
      <c r="AF82" s="73">
        <v>44539.809849537036</v>
      </c>
      <c r="AG82" s="77">
        <v>44539</v>
      </c>
      <c r="AH82" s="74" t="s">
        <v>878</v>
      </c>
      <c r="AI82" t="b">
        <v>0</v>
      </c>
      <c r="AV82" s="75" t="str">
        <f>HYPERLINK("https://pbs.twimg.com/profile_images/1226116907230621696/IDrU5ecA_normal.jpg")</f>
        <v>https://pbs.twimg.com/profile_images/1226116907230621696/IDrU5ecA_normal.jpg</v>
      </c>
      <c r="AW82" s="74" t="s">
        <v>1099</v>
      </c>
      <c r="AX82" s="74" t="s">
        <v>1099</v>
      </c>
      <c r="AZ82" s="74" t="s">
        <v>1384</v>
      </c>
      <c r="BA82" s="74" t="s">
        <v>1384</v>
      </c>
      <c r="BB82" s="74" t="s">
        <v>1384</v>
      </c>
      <c r="BC82" s="74" t="s">
        <v>1099</v>
      </c>
      <c r="BD82" s="74" t="s">
        <v>1435</v>
      </c>
      <c r="BJ82" s="44">
        <v>3</v>
      </c>
      <c r="BK82" s="45">
        <v>30</v>
      </c>
      <c r="BL82" s="44">
        <v>1</v>
      </c>
      <c r="BM82" s="45">
        <v>10</v>
      </c>
      <c r="BN82" s="44">
        <v>0</v>
      </c>
      <c r="BO82" s="45">
        <v>0</v>
      </c>
      <c r="BP82" s="44">
        <v>6</v>
      </c>
      <c r="BQ82" s="45">
        <v>60</v>
      </c>
      <c r="BR82" s="44">
        <v>10</v>
      </c>
      <c r="BS82">
        <v>1</v>
      </c>
      <c r="BT82" s="112" t="str">
        <f>REPLACE(INDEX(GroupVertices[Group],MATCH("~"&amp;Edges37[[#This Row],[Vertex 1]],GroupVertices[Vertex],0)),1,1,"")</f>
        <v>3</v>
      </c>
      <c r="BU82" s="112" t="str">
        <f>REPLACE(INDEX(GroupVertices[Group],MATCH("~"&amp;Edges37[[#This Row],[Vertex 2]],GroupVertices[Vertex],0)),1,1,"")</f>
        <v>3</v>
      </c>
    </row>
    <row r="83" spans="1:73" ht="15">
      <c r="A83" s="59" t="s">
        <v>268</v>
      </c>
      <c r="B83" s="59" t="s">
        <v>383</v>
      </c>
      <c r="C83" s="60"/>
      <c r="D83" s="61"/>
      <c r="E83" s="62"/>
      <c r="F83" s="63"/>
      <c r="G83" s="60"/>
      <c r="H83" s="64"/>
      <c r="I83" s="65"/>
      <c r="J83" s="65"/>
      <c r="K83" s="30" t="s">
        <v>65</v>
      </c>
      <c r="L83" s="72">
        <v>97</v>
      </c>
      <c r="M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3" s="67"/>
      <c r="O83" t="s">
        <v>481</v>
      </c>
      <c r="P83" s="73">
        <v>44574.29282407407</v>
      </c>
      <c r="Q83" t="s">
        <v>565</v>
      </c>
      <c r="R83">
        <v>165</v>
      </c>
      <c r="S83">
        <v>779</v>
      </c>
      <c r="T83">
        <v>38</v>
      </c>
      <c r="U83">
        <v>12</v>
      </c>
      <c r="Z83" t="s">
        <v>383</v>
      </c>
      <c r="AC83" s="74" t="s">
        <v>789</v>
      </c>
      <c r="AD83" t="s">
        <v>794</v>
      </c>
      <c r="AE83" s="75" t="str">
        <f>HYPERLINK("https://twitter.com/ramlirizal/status/1481521814820253698")</f>
        <v>https://twitter.com/ramlirizal/status/1481521814820253698</v>
      </c>
      <c r="AF83" s="73">
        <v>44574.29282407407</v>
      </c>
      <c r="AG83" s="77">
        <v>44574</v>
      </c>
      <c r="AH83" s="74" t="s">
        <v>879</v>
      </c>
      <c r="AV83" s="75" t="str">
        <f>HYPERLINK("https://pbs.twimg.com/profile_images/566077214081290240/NQje2pzu_normal.jpeg")</f>
        <v>https://pbs.twimg.com/profile_images/566077214081290240/NQje2pzu_normal.jpeg</v>
      </c>
      <c r="AW83" s="74" t="s">
        <v>1100</v>
      </c>
      <c r="AX83" s="74" t="s">
        <v>1100</v>
      </c>
      <c r="AZ83" s="74" t="s">
        <v>1384</v>
      </c>
      <c r="BA83" s="74" t="s">
        <v>1384</v>
      </c>
      <c r="BB83" s="74" t="s">
        <v>1384</v>
      </c>
      <c r="BC83" s="74" t="s">
        <v>1100</v>
      </c>
      <c r="BD83">
        <v>452992293</v>
      </c>
      <c r="BJ83" s="44">
        <v>3</v>
      </c>
      <c r="BK83" s="45">
        <v>8.333333333333334</v>
      </c>
      <c r="BL83" s="44">
        <v>1</v>
      </c>
      <c r="BM83" s="45">
        <v>2.7777777777777777</v>
      </c>
      <c r="BN83" s="44">
        <v>0</v>
      </c>
      <c r="BO83" s="45">
        <v>0</v>
      </c>
      <c r="BP83" s="44">
        <v>32</v>
      </c>
      <c r="BQ83" s="45">
        <v>88.88888888888889</v>
      </c>
      <c r="BR83" s="44">
        <v>36</v>
      </c>
      <c r="BS83">
        <v>1</v>
      </c>
      <c r="BT83" s="112" t="str">
        <f>REPLACE(INDEX(GroupVertices[Group],MATCH("~"&amp;Edges37[[#This Row],[Vertex 1]],GroupVertices[Vertex],0)),1,1,"")</f>
        <v>13</v>
      </c>
      <c r="BU83" s="112" t="str">
        <f>REPLACE(INDEX(GroupVertices[Group],MATCH("~"&amp;Edges37[[#This Row],[Vertex 2]],GroupVertices[Vertex],0)),1,1,"")</f>
        <v>13</v>
      </c>
    </row>
    <row r="84" spans="1:73" ht="15">
      <c r="A84" s="59" t="s">
        <v>269</v>
      </c>
      <c r="B84" s="59" t="s">
        <v>384</v>
      </c>
      <c r="C84" s="60"/>
      <c r="D84" s="61"/>
      <c r="E84" s="62"/>
      <c r="F84" s="63"/>
      <c r="G84" s="60"/>
      <c r="H84" s="64"/>
      <c r="I84" s="65"/>
      <c r="J84" s="65"/>
      <c r="K84" s="30" t="s">
        <v>65</v>
      </c>
      <c r="L84" s="72">
        <v>98</v>
      </c>
      <c r="M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4" s="67"/>
      <c r="O84" t="s">
        <v>483</v>
      </c>
      <c r="P84" s="73">
        <v>44592.70863425926</v>
      </c>
      <c r="Q84" t="s">
        <v>566</v>
      </c>
      <c r="R84">
        <v>0</v>
      </c>
      <c r="S84">
        <v>2</v>
      </c>
      <c r="T84">
        <v>1</v>
      </c>
      <c r="U84">
        <v>0</v>
      </c>
      <c r="Z84" t="s">
        <v>739</v>
      </c>
      <c r="AC84" s="74" t="s">
        <v>787</v>
      </c>
      <c r="AD84" t="s">
        <v>794</v>
      </c>
      <c r="AE84" s="75" t="str">
        <f>HYPERLINK("https://twitter.com/mmargani5/status/1488195481318883333")</f>
        <v>https://twitter.com/mmargani5/status/1488195481318883333</v>
      </c>
      <c r="AF84" s="73">
        <v>44592.70863425926</v>
      </c>
      <c r="AG84" s="77">
        <v>44592</v>
      </c>
      <c r="AH84" s="74" t="s">
        <v>880</v>
      </c>
      <c r="AV84" s="75" t="str">
        <f>HYPERLINK("https://pbs.twimg.com/profile_images/1598949437656924160/LdPX9LJn_normal.jpg")</f>
        <v>https://pbs.twimg.com/profile_images/1598949437656924160/LdPX9LJn_normal.jpg</v>
      </c>
      <c r="AW84" s="74" t="s">
        <v>1101</v>
      </c>
      <c r="AX84" s="74" t="s">
        <v>1272</v>
      </c>
      <c r="AY84" s="74" t="s">
        <v>1350</v>
      </c>
      <c r="AZ84" s="74" t="s">
        <v>1272</v>
      </c>
      <c r="BA84" s="74" t="s">
        <v>1384</v>
      </c>
      <c r="BB84" s="74" t="s">
        <v>1384</v>
      </c>
      <c r="BC84" s="74" t="s">
        <v>1272</v>
      </c>
      <c r="BD84" s="74" t="s">
        <v>1436</v>
      </c>
      <c r="BJ84" s="44"/>
      <c r="BK84" s="45"/>
      <c r="BL84" s="44"/>
      <c r="BM84" s="45"/>
      <c r="BN84" s="44"/>
      <c r="BO84" s="45"/>
      <c r="BP84" s="44"/>
      <c r="BQ84" s="45"/>
      <c r="BR84" s="44"/>
      <c r="BS84">
        <v>1</v>
      </c>
      <c r="BT84" s="112" t="str">
        <f>REPLACE(INDEX(GroupVertices[Group],MATCH("~"&amp;Edges37[[#This Row],[Vertex 1]],GroupVertices[Vertex],0)),1,1,"")</f>
        <v>10</v>
      </c>
      <c r="BU84" s="112" t="str">
        <f>REPLACE(INDEX(GroupVertices[Group],MATCH("~"&amp;Edges37[[#This Row],[Vertex 2]],GroupVertices[Vertex],0)),1,1,"")</f>
        <v>10</v>
      </c>
    </row>
    <row r="85" spans="1:73" ht="15">
      <c r="A85" s="59" t="s">
        <v>269</v>
      </c>
      <c r="B85" s="59" t="s">
        <v>386</v>
      </c>
      <c r="C85" s="60"/>
      <c r="D85" s="61"/>
      <c r="E85" s="62"/>
      <c r="F85" s="63"/>
      <c r="G85" s="60"/>
      <c r="H85" s="64"/>
      <c r="I85" s="65"/>
      <c r="J85" s="65"/>
      <c r="K85" s="30" t="s">
        <v>65</v>
      </c>
      <c r="L85" s="72">
        <v>100</v>
      </c>
      <c r="M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5" s="67"/>
      <c r="O85" t="s">
        <v>482</v>
      </c>
      <c r="P85" s="73">
        <v>44735.603530092594</v>
      </c>
      <c r="Q85" t="s">
        <v>567</v>
      </c>
      <c r="R85">
        <v>0</v>
      </c>
      <c r="S85">
        <v>0</v>
      </c>
      <c r="T85">
        <v>0</v>
      </c>
      <c r="U85">
        <v>0</v>
      </c>
      <c r="Z85" t="s">
        <v>386</v>
      </c>
      <c r="AC85" s="74" t="s">
        <v>787</v>
      </c>
      <c r="AD85" t="s">
        <v>794</v>
      </c>
      <c r="AE85" s="75" t="str">
        <f>HYPERLINK("https://twitter.com/mmargani5/status/1539978856206979072")</f>
        <v>https://twitter.com/mmargani5/status/1539978856206979072</v>
      </c>
      <c r="AF85" s="73">
        <v>44735.603530092594</v>
      </c>
      <c r="AG85" s="77">
        <v>44735</v>
      </c>
      <c r="AH85" s="74" t="s">
        <v>881</v>
      </c>
      <c r="AV85" s="75" t="str">
        <f>HYPERLINK("https://pbs.twimg.com/profile_images/1598949437656924160/LdPX9LJn_normal.jpg")</f>
        <v>https://pbs.twimg.com/profile_images/1598949437656924160/LdPX9LJn_normal.jpg</v>
      </c>
      <c r="AW85" s="74" t="s">
        <v>1102</v>
      </c>
      <c r="AX85" s="74" t="s">
        <v>1273</v>
      </c>
      <c r="AY85" s="74" t="s">
        <v>1351</v>
      </c>
      <c r="AZ85" s="74" t="s">
        <v>1273</v>
      </c>
      <c r="BA85" s="74" t="s">
        <v>1384</v>
      </c>
      <c r="BB85" s="74" t="s">
        <v>1384</v>
      </c>
      <c r="BC85" s="74" t="s">
        <v>1273</v>
      </c>
      <c r="BD85" s="74" t="s">
        <v>1436</v>
      </c>
      <c r="BJ85" s="44">
        <v>3</v>
      </c>
      <c r="BK85" s="45">
        <v>9.375</v>
      </c>
      <c r="BL85" s="44">
        <v>1</v>
      </c>
      <c r="BM85" s="45">
        <v>3.125</v>
      </c>
      <c r="BN85" s="44">
        <v>0</v>
      </c>
      <c r="BO85" s="45">
        <v>0</v>
      </c>
      <c r="BP85" s="44">
        <v>28</v>
      </c>
      <c r="BQ85" s="45">
        <v>87.5</v>
      </c>
      <c r="BR85" s="44">
        <v>32</v>
      </c>
      <c r="BS85">
        <v>1</v>
      </c>
      <c r="BT85" s="112" t="str">
        <f>REPLACE(INDEX(GroupVertices[Group],MATCH("~"&amp;Edges37[[#This Row],[Vertex 1]],GroupVertices[Vertex],0)),1,1,"")</f>
        <v>10</v>
      </c>
      <c r="BU85" s="112" t="str">
        <f>REPLACE(INDEX(GroupVertices[Group],MATCH("~"&amp;Edges37[[#This Row],[Vertex 2]],GroupVertices[Vertex],0)),1,1,"")</f>
        <v>10</v>
      </c>
    </row>
    <row r="86" spans="1:73" ht="15">
      <c r="A86" s="59" t="s">
        <v>269</v>
      </c>
      <c r="B86" s="59" t="s">
        <v>387</v>
      </c>
      <c r="C86" s="60"/>
      <c r="D86" s="61"/>
      <c r="E86" s="62"/>
      <c r="F86" s="63"/>
      <c r="G86" s="60"/>
      <c r="H86" s="64"/>
      <c r="I86" s="65"/>
      <c r="J86" s="65"/>
      <c r="K86" s="30" t="s">
        <v>65</v>
      </c>
      <c r="L86" s="72">
        <v>101</v>
      </c>
      <c r="M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6" s="67"/>
      <c r="O86" t="s">
        <v>483</v>
      </c>
      <c r="P86" s="73">
        <v>44578.208865740744</v>
      </c>
      <c r="Q86" t="s">
        <v>568</v>
      </c>
      <c r="R86">
        <v>0</v>
      </c>
      <c r="S86">
        <v>0</v>
      </c>
      <c r="T86">
        <v>1</v>
      </c>
      <c r="U86">
        <v>0</v>
      </c>
      <c r="Z86" t="s">
        <v>740</v>
      </c>
      <c r="AC86" s="74" t="s">
        <v>787</v>
      </c>
      <c r="AD86" t="s">
        <v>794</v>
      </c>
      <c r="AE86" s="75" t="str">
        <f>HYPERLINK("https://twitter.com/mmargani5/status/1482940939786387458")</f>
        <v>https://twitter.com/mmargani5/status/1482940939786387458</v>
      </c>
      <c r="AF86" s="73">
        <v>44578.208865740744</v>
      </c>
      <c r="AG86" s="77">
        <v>44578</v>
      </c>
      <c r="AH86" s="74" t="s">
        <v>882</v>
      </c>
      <c r="AV86" s="75" t="str">
        <f>HYPERLINK("https://pbs.twimg.com/profile_images/1598949437656924160/LdPX9LJn_normal.jpg")</f>
        <v>https://pbs.twimg.com/profile_images/1598949437656924160/LdPX9LJn_normal.jpg</v>
      </c>
      <c r="AW86" s="74" t="s">
        <v>1103</v>
      </c>
      <c r="AX86" s="74" t="s">
        <v>1274</v>
      </c>
      <c r="AY86" s="74" t="s">
        <v>1352</v>
      </c>
      <c r="AZ86" s="74" t="s">
        <v>1274</v>
      </c>
      <c r="BA86" s="74" t="s">
        <v>1384</v>
      </c>
      <c r="BB86" s="74" t="s">
        <v>1384</v>
      </c>
      <c r="BC86" s="74" t="s">
        <v>1274</v>
      </c>
      <c r="BD86" s="74" t="s">
        <v>1436</v>
      </c>
      <c r="BJ86" s="44">
        <v>3</v>
      </c>
      <c r="BK86" s="45">
        <v>50</v>
      </c>
      <c r="BL86" s="44">
        <v>0</v>
      </c>
      <c r="BM86" s="45">
        <v>0</v>
      </c>
      <c r="BN86" s="44">
        <v>0</v>
      </c>
      <c r="BO86" s="45">
        <v>0</v>
      </c>
      <c r="BP86" s="44">
        <v>3</v>
      </c>
      <c r="BQ86" s="45">
        <v>50</v>
      </c>
      <c r="BR86" s="44">
        <v>6</v>
      </c>
      <c r="BS86">
        <v>1</v>
      </c>
      <c r="BT86" s="112" t="str">
        <f>REPLACE(INDEX(GroupVertices[Group],MATCH("~"&amp;Edges37[[#This Row],[Vertex 1]],GroupVertices[Vertex],0)),1,1,"")</f>
        <v>10</v>
      </c>
      <c r="BU86" s="112" t="str">
        <f>REPLACE(INDEX(GroupVertices[Group],MATCH("~"&amp;Edges37[[#This Row],[Vertex 2]],GroupVertices[Vertex],0)),1,1,"")</f>
        <v>10</v>
      </c>
    </row>
    <row r="87" spans="1:73" ht="15">
      <c r="A87" s="59" t="s">
        <v>270</v>
      </c>
      <c r="B87" s="59" t="s">
        <v>388</v>
      </c>
      <c r="C87" s="60"/>
      <c r="D87" s="61"/>
      <c r="E87" s="62"/>
      <c r="F87" s="63"/>
      <c r="G87" s="60"/>
      <c r="H87" s="64"/>
      <c r="I87" s="65"/>
      <c r="J87" s="65"/>
      <c r="K87" s="30" t="s">
        <v>65</v>
      </c>
      <c r="L87" s="72">
        <v>108</v>
      </c>
      <c r="M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7" s="67"/>
      <c r="O87" t="s">
        <v>485</v>
      </c>
      <c r="P87" s="73">
        <v>44578.99228009259</v>
      </c>
      <c r="Q87" t="s">
        <v>569</v>
      </c>
      <c r="R87">
        <v>431</v>
      </c>
      <c r="S87">
        <v>1632</v>
      </c>
      <c r="T87">
        <v>184</v>
      </c>
      <c r="U87">
        <v>41</v>
      </c>
      <c r="Z87" t="s">
        <v>388</v>
      </c>
      <c r="AC87" s="74" t="s">
        <v>789</v>
      </c>
      <c r="AD87" t="s">
        <v>794</v>
      </c>
      <c r="AE87" s="75" t="str">
        <f>HYPERLINK("https://twitter.com/hnurwahid/status/1483224841969090560")</f>
        <v>https://twitter.com/hnurwahid/status/1483224841969090560</v>
      </c>
      <c r="AF87" s="73">
        <v>44578.99228009259</v>
      </c>
      <c r="AG87" s="77">
        <v>44578</v>
      </c>
      <c r="AH87" s="74" t="s">
        <v>883</v>
      </c>
      <c r="AV87" s="75" t="str">
        <f>HYPERLINK("https://pbs.twimg.com/profile_images/1463084916883685379/pYWu2w0H_normal.jpg")</f>
        <v>https://pbs.twimg.com/profile_images/1463084916883685379/pYWu2w0H_normal.jpg</v>
      </c>
      <c r="AW87" s="74" t="s">
        <v>1104</v>
      </c>
      <c r="AX87" s="74" t="s">
        <v>1104</v>
      </c>
      <c r="AZ87" s="74" t="s">
        <v>1384</v>
      </c>
      <c r="BA87" s="74" t="s">
        <v>1400</v>
      </c>
      <c r="BB87" s="74" t="s">
        <v>1384</v>
      </c>
      <c r="BC87" s="74" t="s">
        <v>1400</v>
      </c>
      <c r="BD87">
        <v>86012022</v>
      </c>
      <c r="BJ87" s="44">
        <v>0</v>
      </c>
      <c r="BK87" s="45">
        <v>0</v>
      </c>
      <c r="BL87" s="44">
        <v>1</v>
      </c>
      <c r="BM87" s="45">
        <v>3.7037037037037037</v>
      </c>
      <c r="BN87" s="44">
        <v>0</v>
      </c>
      <c r="BO87" s="45">
        <v>0</v>
      </c>
      <c r="BP87" s="44">
        <v>26</v>
      </c>
      <c r="BQ87" s="45">
        <v>96.29629629629629</v>
      </c>
      <c r="BR87" s="44">
        <v>27</v>
      </c>
      <c r="BS87">
        <v>1</v>
      </c>
      <c r="BT87" s="112" t="str">
        <f>REPLACE(INDEX(GroupVertices[Group],MATCH("~"&amp;Edges37[[#This Row],[Vertex 1]],GroupVertices[Vertex],0)),1,1,"")</f>
        <v>10</v>
      </c>
      <c r="BU87" s="112" t="str">
        <f>REPLACE(INDEX(GroupVertices[Group],MATCH("~"&amp;Edges37[[#This Row],[Vertex 2]],GroupVertices[Vertex],0)),1,1,"")</f>
        <v>10</v>
      </c>
    </row>
    <row r="88" spans="1:73" ht="15">
      <c r="A88" s="59" t="s">
        <v>271</v>
      </c>
      <c r="B88" s="59" t="s">
        <v>271</v>
      </c>
      <c r="C88" s="60"/>
      <c r="D88" s="61"/>
      <c r="E88" s="62"/>
      <c r="F88" s="63"/>
      <c r="G88" s="60"/>
      <c r="H88" s="64"/>
      <c r="I88" s="65"/>
      <c r="J88" s="65"/>
      <c r="K88" s="30" t="s">
        <v>65</v>
      </c>
      <c r="L88" s="72">
        <v>109</v>
      </c>
      <c r="M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8" s="67"/>
      <c r="O88" t="s">
        <v>177</v>
      </c>
      <c r="P88" s="73">
        <v>44574.98148148148</v>
      </c>
      <c r="Q88" t="s">
        <v>570</v>
      </c>
      <c r="R88">
        <v>290</v>
      </c>
      <c r="S88">
        <v>1163</v>
      </c>
      <c r="T88">
        <v>36</v>
      </c>
      <c r="U88">
        <v>9</v>
      </c>
      <c r="W88" s="74" t="s">
        <v>683</v>
      </c>
      <c r="AA88" t="s">
        <v>770</v>
      </c>
      <c r="AB88" t="s">
        <v>783</v>
      </c>
      <c r="AC88" s="74" t="s">
        <v>787</v>
      </c>
      <c r="AD88" t="s">
        <v>797</v>
      </c>
      <c r="AE88" s="75" t="str">
        <f>HYPERLINK("https://twitter.com/salamdiaha/status/1481771374859677696")</f>
        <v>https://twitter.com/salamdiaha/status/1481771374859677696</v>
      </c>
      <c r="AF88" s="73">
        <v>44574.98148148148</v>
      </c>
      <c r="AG88" s="77">
        <v>44574</v>
      </c>
      <c r="AH88" s="74" t="s">
        <v>884</v>
      </c>
      <c r="AI88" t="b">
        <v>0</v>
      </c>
      <c r="AQ88" t="s">
        <v>1008</v>
      </c>
      <c r="AV88" s="75" t="str">
        <f>HYPERLINK("https://pbs.twimg.com/media/FJBPNgJakAAjq4q.jpg")</f>
        <v>https://pbs.twimg.com/media/FJBPNgJakAAjq4q.jpg</v>
      </c>
      <c r="AW88" s="74" t="s">
        <v>1105</v>
      </c>
      <c r="AX88" s="74" t="s">
        <v>1105</v>
      </c>
      <c r="AZ88" s="74" t="s">
        <v>1384</v>
      </c>
      <c r="BA88" s="74" t="s">
        <v>1384</v>
      </c>
      <c r="BB88" s="74" t="s">
        <v>1384</v>
      </c>
      <c r="BC88" s="74" t="s">
        <v>1105</v>
      </c>
      <c r="BD88" s="74" t="s">
        <v>1326</v>
      </c>
      <c r="BJ88" s="44">
        <v>3</v>
      </c>
      <c r="BK88" s="45">
        <v>42.857142857142854</v>
      </c>
      <c r="BL88" s="44">
        <v>0</v>
      </c>
      <c r="BM88" s="45">
        <v>0</v>
      </c>
      <c r="BN88" s="44">
        <v>0</v>
      </c>
      <c r="BO88" s="45">
        <v>0</v>
      </c>
      <c r="BP88" s="44">
        <v>4</v>
      </c>
      <c r="BQ88" s="45">
        <v>57.142857142857146</v>
      </c>
      <c r="BR88" s="44">
        <v>7</v>
      </c>
      <c r="BS88">
        <v>1</v>
      </c>
      <c r="BT88" s="112" t="str">
        <f>REPLACE(INDEX(GroupVertices[Group],MATCH("~"&amp;Edges37[[#This Row],[Vertex 1]],GroupVertices[Vertex],0)),1,1,"")</f>
        <v>39</v>
      </c>
      <c r="BU88" s="112" t="str">
        <f>REPLACE(INDEX(GroupVertices[Group],MATCH("~"&amp;Edges37[[#This Row],[Vertex 2]],GroupVertices[Vertex],0)),1,1,"")</f>
        <v>39</v>
      </c>
    </row>
    <row r="89" spans="1:73" ht="15">
      <c r="A89" s="59" t="s">
        <v>272</v>
      </c>
      <c r="B89" s="59" t="s">
        <v>272</v>
      </c>
      <c r="C89" s="60"/>
      <c r="D89" s="61"/>
      <c r="E89" s="62"/>
      <c r="F89" s="63"/>
      <c r="G89" s="60"/>
      <c r="H89" s="64"/>
      <c r="I89" s="65"/>
      <c r="J89" s="65"/>
      <c r="K89" s="30" t="s">
        <v>65</v>
      </c>
      <c r="L89" s="72">
        <v>110</v>
      </c>
      <c r="M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9" s="67"/>
      <c r="O89" t="s">
        <v>482</v>
      </c>
      <c r="P89" s="73">
        <v>44764.692094907405</v>
      </c>
      <c r="Q89" t="s">
        <v>571</v>
      </c>
      <c r="R89">
        <v>0</v>
      </c>
      <c r="S89">
        <v>0</v>
      </c>
      <c r="T89">
        <v>2</v>
      </c>
      <c r="U89">
        <v>0</v>
      </c>
      <c r="Z89" t="s">
        <v>741</v>
      </c>
      <c r="AC89" s="74" t="s">
        <v>787</v>
      </c>
      <c r="AD89" t="s">
        <v>794</v>
      </c>
      <c r="AE89" s="75" t="str">
        <f>HYPERLINK("https://twitter.com/domara_maman/status/1550520199383658496")</f>
        <v>https://twitter.com/domara_maman/status/1550520199383658496</v>
      </c>
      <c r="AF89" s="73">
        <v>44764.692094907405</v>
      </c>
      <c r="AG89" s="77">
        <v>44764</v>
      </c>
      <c r="AH89" s="74" t="s">
        <v>885</v>
      </c>
      <c r="AV89" s="75" t="str">
        <f>HYPERLINK("https://pbs.twimg.com/profile_images/1705128688520663041/zALRjvlK_normal.jpg")</f>
        <v>https://pbs.twimg.com/profile_images/1705128688520663041/zALRjvlK_normal.jpg</v>
      </c>
      <c r="AW89" s="74" t="s">
        <v>1106</v>
      </c>
      <c r="AX89" s="74" t="s">
        <v>1275</v>
      </c>
      <c r="AY89" s="74" t="s">
        <v>1353</v>
      </c>
      <c r="AZ89" s="74" t="s">
        <v>1391</v>
      </c>
      <c r="BA89" s="74" t="s">
        <v>1384</v>
      </c>
      <c r="BB89" s="74" t="s">
        <v>1384</v>
      </c>
      <c r="BC89" s="74" t="s">
        <v>1391</v>
      </c>
      <c r="BD89" s="74" t="s">
        <v>1353</v>
      </c>
      <c r="BJ89" s="44">
        <v>5</v>
      </c>
      <c r="BK89" s="45">
        <v>11.363636363636363</v>
      </c>
      <c r="BL89" s="44">
        <v>0</v>
      </c>
      <c r="BM89" s="45">
        <v>0</v>
      </c>
      <c r="BN89" s="44">
        <v>0</v>
      </c>
      <c r="BO89" s="45">
        <v>0</v>
      </c>
      <c r="BP89" s="44">
        <v>39</v>
      </c>
      <c r="BQ89" s="45">
        <v>88.63636363636364</v>
      </c>
      <c r="BR89" s="44">
        <v>44</v>
      </c>
      <c r="BS89">
        <v>1</v>
      </c>
      <c r="BT89" s="112" t="str">
        <f>REPLACE(INDEX(GroupVertices[Group],MATCH("~"&amp;Edges37[[#This Row],[Vertex 1]],GroupVertices[Vertex],0)),1,1,"")</f>
        <v>3</v>
      </c>
      <c r="BU89" s="112" t="str">
        <f>REPLACE(INDEX(GroupVertices[Group],MATCH("~"&amp;Edges37[[#This Row],[Vertex 2]],GroupVertices[Vertex],0)),1,1,"")</f>
        <v>3</v>
      </c>
    </row>
    <row r="90" spans="1:73" ht="15">
      <c r="A90" s="59" t="s">
        <v>273</v>
      </c>
      <c r="B90" s="59" t="s">
        <v>390</v>
      </c>
      <c r="C90" s="60"/>
      <c r="D90" s="61"/>
      <c r="E90" s="62"/>
      <c r="F90" s="63"/>
      <c r="G90" s="60"/>
      <c r="H90" s="64"/>
      <c r="I90" s="65"/>
      <c r="J90" s="65"/>
      <c r="K90" s="30" t="s">
        <v>65</v>
      </c>
      <c r="L90" s="72">
        <v>111</v>
      </c>
      <c r="M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0" s="67"/>
      <c r="O90" t="s">
        <v>481</v>
      </c>
      <c r="P90" s="73">
        <v>45026.766597222224</v>
      </c>
      <c r="Q90" t="s">
        <v>572</v>
      </c>
      <c r="R90">
        <v>0</v>
      </c>
      <c r="S90">
        <v>1</v>
      </c>
      <c r="T90">
        <v>0</v>
      </c>
      <c r="U90">
        <v>0</v>
      </c>
      <c r="V90">
        <v>48</v>
      </c>
      <c r="Z90" t="s">
        <v>742</v>
      </c>
      <c r="AC90" s="74" t="s">
        <v>787</v>
      </c>
      <c r="AD90" t="s">
        <v>794</v>
      </c>
      <c r="AE90" s="75" t="str">
        <f>HYPERLINK("https://twitter.com/ellhafifie/status/1645492818885120001")</f>
        <v>https://twitter.com/ellhafifie/status/1645492818885120001</v>
      </c>
      <c r="AF90" s="73">
        <v>45026.766597222224</v>
      </c>
      <c r="AG90" s="77">
        <v>45026</v>
      </c>
      <c r="AH90" s="74" t="s">
        <v>886</v>
      </c>
      <c r="AV90" s="75" t="str">
        <f>HYPERLINK("https://pbs.twimg.com/profile_images/1542315705978470400/E4yZS8vy_normal.jpg")</f>
        <v>https://pbs.twimg.com/profile_images/1542315705978470400/E4yZS8vy_normal.jpg</v>
      </c>
      <c r="AW90" s="74" t="s">
        <v>1107</v>
      </c>
      <c r="AX90" s="74" t="s">
        <v>1107</v>
      </c>
      <c r="AZ90" s="74" t="s">
        <v>1384</v>
      </c>
      <c r="BA90" s="74" t="s">
        <v>1384</v>
      </c>
      <c r="BB90" s="74" t="s">
        <v>1384</v>
      </c>
      <c r="BC90" s="74" t="s">
        <v>1107</v>
      </c>
      <c r="BD90" s="74" t="s">
        <v>1437</v>
      </c>
      <c r="BJ90" s="44"/>
      <c r="BK90" s="45"/>
      <c r="BL90" s="44"/>
      <c r="BM90" s="45"/>
      <c r="BN90" s="44"/>
      <c r="BO90" s="45"/>
      <c r="BP90" s="44"/>
      <c r="BQ90" s="45"/>
      <c r="BR90" s="44"/>
      <c r="BS90">
        <v>8</v>
      </c>
      <c r="BT90" s="112" t="str">
        <f>REPLACE(INDEX(GroupVertices[Group],MATCH("~"&amp;Edges37[[#This Row],[Vertex 1]],GroupVertices[Vertex],0)),1,1,"")</f>
        <v>4</v>
      </c>
      <c r="BU90" s="112" t="str">
        <f>REPLACE(INDEX(GroupVertices[Group],MATCH("~"&amp;Edges37[[#This Row],[Vertex 2]],GroupVertices[Vertex],0)),1,1,"")</f>
        <v>4</v>
      </c>
    </row>
    <row r="91" spans="1:73" ht="15">
      <c r="A91" s="59" t="s">
        <v>274</v>
      </c>
      <c r="B91" s="59" t="s">
        <v>396</v>
      </c>
      <c r="C91" s="60"/>
      <c r="D91" s="61"/>
      <c r="E91" s="62"/>
      <c r="F91" s="63"/>
      <c r="G91" s="60"/>
      <c r="H91" s="64"/>
      <c r="I91" s="65"/>
      <c r="J91" s="65"/>
      <c r="K91" s="30" t="s">
        <v>65</v>
      </c>
      <c r="L91" s="72">
        <v>118</v>
      </c>
      <c r="M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1" s="67"/>
      <c r="O91" t="s">
        <v>483</v>
      </c>
      <c r="P91" s="73">
        <v>44578.14644675926</v>
      </c>
      <c r="Q91" t="s">
        <v>573</v>
      </c>
      <c r="R91">
        <v>0</v>
      </c>
      <c r="S91">
        <v>0</v>
      </c>
      <c r="T91">
        <v>3</v>
      </c>
      <c r="U91">
        <v>0</v>
      </c>
      <c r="Z91" t="s">
        <v>743</v>
      </c>
      <c r="AC91" s="74" t="s">
        <v>787</v>
      </c>
      <c r="AD91" t="s">
        <v>794</v>
      </c>
      <c r="AE91" s="75" t="str">
        <f>HYPERLINK("https://twitter.com/ahamad_ghazali/status/1482918321024802820")</f>
        <v>https://twitter.com/ahamad_ghazali/status/1482918321024802820</v>
      </c>
      <c r="AF91" s="73">
        <v>44578.14644675926</v>
      </c>
      <c r="AG91" s="77">
        <v>44578</v>
      </c>
      <c r="AH91" s="74" t="s">
        <v>887</v>
      </c>
      <c r="AV91" s="75" t="str">
        <f>HYPERLINK("https://pbs.twimg.com/profile_images/1465976076337823749/7hDeQshF_normal.png")</f>
        <v>https://pbs.twimg.com/profile_images/1465976076337823749/7hDeQshF_normal.png</v>
      </c>
      <c r="AW91" s="74" t="s">
        <v>1108</v>
      </c>
      <c r="AX91" s="74" t="s">
        <v>1276</v>
      </c>
      <c r="AY91" s="74" t="s">
        <v>1354</v>
      </c>
      <c r="AZ91" s="74" t="s">
        <v>1392</v>
      </c>
      <c r="BA91" s="74" t="s">
        <v>1384</v>
      </c>
      <c r="BB91" s="74" t="s">
        <v>1384</v>
      </c>
      <c r="BC91" s="74" t="s">
        <v>1392</v>
      </c>
      <c r="BD91" s="74" t="s">
        <v>1438</v>
      </c>
      <c r="BJ91" s="44">
        <v>5</v>
      </c>
      <c r="BK91" s="45">
        <v>33.333333333333336</v>
      </c>
      <c r="BL91" s="44">
        <v>1</v>
      </c>
      <c r="BM91" s="45">
        <v>6.666666666666667</v>
      </c>
      <c r="BN91" s="44">
        <v>0</v>
      </c>
      <c r="BO91" s="45">
        <v>0</v>
      </c>
      <c r="BP91" s="44">
        <v>9</v>
      </c>
      <c r="BQ91" s="45">
        <v>60</v>
      </c>
      <c r="BR91" s="44">
        <v>15</v>
      </c>
      <c r="BS91">
        <v>1</v>
      </c>
      <c r="BT91" s="112" t="str">
        <f>REPLACE(INDEX(GroupVertices[Group],MATCH("~"&amp;Edges37[[#This Row],[Vertex 1]],GroupVertices[Vertex],0)),1,1,"")</f>
        <v>8</v>
      </c>
      <c r="BU91" s="112" t="str">
        <f>REPLACE(INDEX(GroupVertices[Group],MATCH("~"&amp;Edges37[[#This Row],[Vertex 2]],GroupVertices[Vertex],0)),1,1,"")</f>
        <v>8</v>
      </c>
    </row>
    <row r="92" spans="1:73" ht="15">
      <c r="A92" s="59" t="s">
        <v>274</v>
      </c>
      <c r="B92" s="59" t="s">
        <v>397</v>
      </c>
      <c r="C92" s="60"/>
      <c r="D92" s="61"/>
      <c r="E92" s="62"/>
      <c r="F92" s="63"/>
      <c r="G92" s="60"/>
      <c r="H92" s="64"/>
      <c r="I92" s="65"/>
      <c r="J92" s="65"/>
      <c r="K92" s="30" t="s">
        <v>65</v>
      </c>
      <c r="L92" s="72">
        <v>119</v>
      </c>
      <c r="M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2" s="67"/>
      <c r="O92" t="s">
        <v>482</v>
      </c>
      <c r="P92" s="73">
        <v>44577.28084490741</v>
      </c>
      <c r="Q92" t="s">
        <v>574</v>
      </c>
      <c r="R92">
        <v>0</v>
      </c>
      <c r="S92">
        <v>0</v>
      </c>
      <c r="T92">
        <v>0</v>
      </c>
      <c r="U92">
        <v>0</v>
      </c>
      <c r="Z92" t="s">
        <v>744</v>
      </c>
      <c r="AC92" s="74" t="s">
        <v>787</v>
      </c>
      <c r="AD92" t="s">
        <v>794</v>
      </c>
      <c r="AE92" s="75" t="str">
        <f>HYPERLINK("https://twitter.com/ahamad_ghazali/status/1482604637350170625")</f>
        <v>https://twitter.com/ahamad_ghazali/status/1482604637350170625</v>
      </c>
      <c r="AF92" s="73">
        <v>44577.28084490741</v>
      </c>
      <c r="AG92" s="77">
        <v>44577</v>
      </c>
      <c r="AH92" s="74" t="s">
        <v>888</v>
      </c>
      <c r="AV92" s="75" t="str">
        <f>HYPERLINK("https://pbs.twimg.com/profile_images/1465976076337823749/7hDeQshF_normal.png")</f>
        <v>https://pbs.twimg.com/profile_images/1465976076337823749/7hDeQshF_normal.png</v>
      </c>
      <c r="AW92" s="74" t="s">
        <v>1109</v>
      </c>
      <c r="AX92" s="74" t="s">
        <v>1277</v>
      </c>
      <c r="AY92" s="74" t="s">
        <v>1355</v>
      </c>
      <c r="AZ92" s="74" t="s">
        <v>1393</v>
      </c>
      <c r="BA92" s="74" t="s">
        <v>1384</v>
      </c>
      <c r="BB92" s="74" t="s">
        <v>1384</v>
      </c>
      <c r="BC92" s="74" t="s">
        <v>1393</v>
      </c>
      <c r="BD92" s="74" t="s">
        <v>1438</v>
      </c>
      <c r="BJ92" s="44">
        <v>7</v>
      </c>
      <c r="BK92" s="45">
        <v>35</v>
      </c>
      <c r="BL92" s="44">
        <v>1</v>
      </c>
      <c r="BM92" s="45">
        <v>5</v>
      </c>
      <c r="BN92" s="44">
        <v>0</v>
      </c>
      <c r="BO92" s="45">
        <v>0</v>
      </c>
      <c r="BP92" s="44">
        <v>12</v>
      </c>
      <c r="BQ92" s="45">
        <v>60</v>
      </c>
      <c r="BR92" s="44">
        <v>20</v>
      </c>
      <c r="BS92">
        <v>1</v>
      </c>
      <c r="BT92" s="112" t="str">
        <f>REPLACE(INDEX(GroupVertices[Group],MATCH("~"&amp;Edges37[[#This Row],[Vertex 1]],GroupVertices[Vertex],0)),1,1,"")</f>
        <v>8</v>
      </c>
      <c r="BU92" s="112" t="str">
        <f>REPLACE(INDEX(GroupVertices[Group],MATCH("~"&amp;Edges37[[#This Row],[Vertex 2]],GroupVertices[Vertex],0)),1,1,"")</f>
        <v>8</v>
      </c>
    </row>
    <row r="93" spans="1:73" ht="15">
      <c r="A93" s="59" t="s">
        <v>274</v>
      </c>
      <c r="B93" s="59" t="s">
        <v>398</v>
      </c>
      <c r="C93" s="60"/>
      <c r="D93" s="61"/>
      <c r="E93" s="62"/>
      <c r="F93" s="63"/>
      <c r="G93" s="60"/>
      <c r="H93" s="64"/>
      <c r="I93" s="65"/>
      <c r="J93" s="65"/>
      <c r="K93" s="30" t="s">
        <v>65</v>
      </c>
      <c r="L93" s="72">
        <v>120</v>
      </c>
      <c r="M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3" s="67"/>
      <c r="O93" t="s">
        <v>482</v>
      </c>
      <c r="P93" s="73">
        <v>44704.177881944444</v>
      </c>
      <c r="Q93" t="s">
        <v>575</v>
      </c>
      <c r="R93">
        <v>0</v>
      </c>
      <c r="S93">
        <v>0</v>
      </c>
      <c r="T93">
        <v>1</v>
      </c>
      <c r="U93">
        <v>0</v>
      </c>
      <c r="Z93" t="s">
        <v>288</v>
      </c>
      <c r="AC93" s="74" t="s">
        <v>787</v>
      </c>
      <c r="AD93" t="s">
        <v>794</v>
      </c>
      <c r="AE93" s="75" t="str">
        <f>HYPERLINK("https://twitter.com/ahamad_ghazali/status/1528590584671510530")</f>
        <v>https://twitter.com/ahamad_ghazali/status/1528590584671510530</v>
      </c>
      <c r="AF93" s="73">
        <v>44704.177881944444</v>
      </c>
      <c r="AG93" s="77">
        <v>44704</v>
      </c>
      <c r="AH93" s="74" t="s">
        <v>889</v>
      </c>
      <c r="AV93" s="75" t="str">
        <f>HYPERLINK("https://pbs.twimg.com/profile_images/1465976076337823749/7hDeQshF_normal.png")</f>
        <v>https://pbs.twimg.com/profile_images/1465976076337823749/7hDeQshF_normal.png</v>
      </c>
      <c r="AW93" s="74" t="s">
        <v>1110</v>
      </c>
      <c r="AX93" s="74" t="s">
        <v>1278</v>
      </c>
      <c r="AY93" s="74" t="s">
        <v>1356</v>
      </c>
      <c r="AZ93" s="74" t="s">
        <v>1394</v>
      </c>
      <c r="BA93" s="74" t="s">
        <v>1384</v>
      </c>
      <c r="BB93" s="74" t="s">
        <v>1384</v>
      </c>
      <c r="BC93" s="74" t="s">
        <v>1394</v>
      </c>
      <c r="BD93" s="74" t="s">
        <v>1438</v>
      </c>
      <c r="BJ93" s="44">
        <v>5</v>
      </c>
      <c r="BK93" s="45">
        <v>20.833333333333332</v>
      </c>
      <c r="BL93" s="44">
        <v>1</v>
      </c>
      <c r="BM93" s="45">
        <v>4.166666666666667</v>
      </c>
      <c r="BN93" s="44">
        <v>0</v>
      </c>
      <c r="BO93" s="45">
        <v>0</v>
      </c>
      <c r="BP93" s="44">
        <v>18</v>
      </c>
      <c r="BQ93" s="45">
        <v>75</v>
      </c>
      <c r="BR93" s="44">
        <v>24</v>
      </c>
      <c r="BS93">
        <v>1</v>
      </c>
      <c r="BT93" s="112" t="str">
        <f>REPLACE(INDEX(GroupVertices[Group],MATCH("~"&amp;Edges37[[#This Row],[Vertex 1]],GroupVertices[Vertex],0)),1,1,"")</f>
        <v>8</v>
      </c>
      <c r="BU93" s="112" t="str">
        <f>REPLACE(INDEX(GroupVertices[Group],MATCH("~"&amp;Edges37[[#This Row],[Vertex 2]],GroupVertices[Vertex],0)),1,1,"")</f>
        <v>8</v>
      </c>
    </row>
    <row r="94" spans="1:73" ht="15">
      <c r="A94" s="59" t="s">
        <v>274</v>
      </c>
      <c r="B94" s="59" t="s">
        <v>338</v>
      </c>
      <c r="C94" s="60"/>
      <c r="D94" s="61"/>
      <c r="E94" s="62"/>
      <c r="F94" s="63"/>
      <c r="G94" s="60"/>
      <c r="H94" s="64"/>
      <c r="I94" s="65"/>
      <c r="J94" s="65"/>
      <c r="K94" s="30" t="s">
        <v>65</v>
      </c>
      <c r="L94" s="72">
        <v>122</v>
      </c>
      <c r="M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4" s="67"/>
      <c r="O94" t="s">
        <v>482</v>
      </c>
      <c r="P94" s="73">
        <v>44577.28135416667</v>
      </c>
      <c r="Q94" t="s">
        <v>576</v>
      </c>
      <c r="R94">
        <v>0</v>
      </c>
      <c r="S94">
        <v>0</v>
      </c>
      <c r="T94">
        <v>0</v>
      </c>
      <c r="U94">
        <v>0</v>
      </c>
      <c r="Z94" t="s">
        <v>338</v>
      </c>
      <c r="AC94" s="74" t="s">
        <v>787</v>
      </c>
      <c r="AD94" t="s">
        <v>794</v>
      </c>
      <c r="AE94" s="75" t="str">
        <f>HYPERLINK("https://twitter.com/ahamad_ghazali/status/1482604823069749248")</f>
        <v>https://twitter.com/ahamad_ghazali/status/1482604823069749248</v>
      </c>
      <c r="AF94" s="73">
        <v>44577.28135416667</v>
      </c>
      <c r="AG94" s="77">
        <v>44577</v>
      </c>
      <c r="AH94" s="74" t="s">
        <v>890</v>
      </c>
      <c r="AV94" s="75" t="str">
        <f>HYPERLINK("https://pbs.twimg.com/profile_images/1465976076337823749/7hDeQshF_normal.png")</f>
        <v>https://pbs.twimg.com/profile_images/1465976076337823749/7hDeQshF_normal.png</v>
      </c>
      <c r="AW94" s="74" t="s">
        <v>1111</v>
      </c>
      <c r="AX94" s="74" t="s">
        <v>1277</v>
      </c>
      <c r="AY94" s="74" t="s">
        <v>1320</v>
      </c>
      <c r="AZ94" s="74" t="s">
        <v>1277</v>
      </c>
      <c r="BA94" s="74" t="s">
        <v>1384</v>
      </c>
      <c r="BB94" s="74" t="s">
        <v>1384</v>
      </c>
      <c r="BC94" s="74" t="s">
        <v>1277</v>
      </c>
      <c r="BD94" s="74" t="s">
        <v>1438</v>
      </c>
      <c r="BJ94" s="44">
        <v>6</v>
      </c>
      <c r="BK94" s="45">
        <v>31.57894736842105</v>
      </c>
      <c r="BL94" s="44">
        <v>1</v>
      </c>
      <c r="BM94" s="45">
        <v>5.2631578947368425</v>
      </c>
      <c r="BN94" s="44">
        <v>0</v>
      </c>
      <c r="BO94" s="45">
        <v>0</v>
      </c>
      <c r="BP94" s="44">
        <v>12</v>
      </c>
      <c r="BQ94" s="45">
        <v>63.1578947368421</v>
      </c>
      <c r="BR94" s="44">
        <v>19</v>
      </c>
      <c r="BS94">
        <v>8</v>
      </c>
      <c r="BT94" s="112" t="str">
        <f>REPLACE(INDEX(GroupVertices[Group],MATCH("~"&amp;Edges37[[#This Row],[Vertex 1]],GroupVertices[Vertex],0)),1,1,"")</f>
        <v>8</v>
      </c>
      <c r="BU94" s="112" t="str">
        <f>REPLACE(INDEX(GroupVertices[Group],MATCH("~"&amp;Edges37[[#This Row],[Vertex 2]],GroupVertices[Vertex],0)),1,1,"")</f>
        <v>8</v>
      </c>
    </row>
    <row r="95" spans="1:73" ht="15">
      <c r="A95" s="59" t="s">
        <v>274</v>
      </c>
      <c r="B95" s="59" t="s">
        <v>314</v>
      </c>
      <c r="C95" s="60"/>
      <c r="D95" s="61"/>
      <c r="E95" s="62"/>
      <c r="F95" s="63"/>
      <c r="G95" s="60"/>
      <c r="H95" s="64"/>
      <c r="I95" s="65"/>
      <c r="J95" s="65"/>
      <c r="K95" s="30" t="s">
        <v>65</v>
      </c>
      <c r="L95" s="72">
        <v>123</v>
      </c>
      <c r="M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5" s="67"/>
      <c r="O95" t="s">
        <v>482</v>
      </c>
      <c r="P95" s="73">
        <v>44537.7425</v>
      </c>
      <c r="Q95" t="s">
        <v>577</v>
      </c>
      <c r="R95">
        <v>0</v>
      </c>
      <c r="S95">
        <v>0</v>
      </c>
      <c r="T95">
        <v>0</v>
      </c>
      <c r="U95">
        <v>0</v>
      </c>
      <c r="Z95" t="s">
        <v>314</v>
      </c>
      <c r="AC95" s="74" t="s">
        <v>787</v>
      </c>
      <c r="AD95" t="s">
        <v>794</v>
      </c>
      <c r="AE95" s="75" t="str">
        <f>HYPERLINK("https://twitter.com/ahamad_ghazali/status/1468276420510027777")</f>
        <v>https://twitter.com/ahamad_ghazali/status/1468276420510027777</v>
      </c>
      <c r="AF95" s="73">
        <v>44537.7425</v>
      </c>
      <c r="AG95" s="77">
        <v>44537</v>
      </c>
      <c r="AH95" s="74" t="s">
        <v>891</v>
      </c>
      <c r="AV95" s="75" t="str">
        <f>HYPERLINK("https://pbs.twimg.com/profile_images/1465976076337823749/7hDeQshF_normal.png")</f>
        <v>https://pbs.twimg.com/profile_images/1465976076337823749/7hDeQshF_normal.png</v>
      </c>
      <c r="AW95" s="74" t="s">
        <v>1112</v>
      </c>
      <c r="AX95" s="74" t="s">
        <v>1279</v>
      </c>
      <c r="AY95" s="74" t="s">
        <v>1341</v>
      </c>
      <c r="AZ95" s="74" t="s">
        <v>1279</v>
      </c>
      <c r="BA95" s="74" t="s">
        <v>1384</v>
      </c>
      <c r="BB95" s="74" t="s">
        <v>1384</v>
      </c>
      <c r="BC95" s="74" t="s">
        <v>1279</v>
      </c>
      <c r="BD95" s="74" t="s">
        <v>1438</v>
      </c>
      <c r="BJ95" s="44">
        <v>5</v>
      </c>
      <c r="BK95" s="45">
        <v>55.55555555555556</v>
      </c>
      <c r="BL95" s="44">
        <v>1</v>
      </c>
      <c r="BM95" s="45">
        <v>11.11111111111111</v>
      </c>
      <c r="BN95" s="44">
        <v>0</v>
      </c>
      <c r="BO95" s="45">
        <v>0</v>
      </c>
      <c r="BP95" s="44">
        <v>3</v>
      </c>
      <c r="BQ95" s="45">
        <v>33.333333333333336</v>
      </c>
      <c r="BR95" s="44">
        <v>9</v>
      </c>
      <c r="BS95">
        <v>1</v>
      </c>
      <c r="BT95" s="112" t="str">
        <f>REPLACE(INDEX(GroupVertices[Group],MATCH("~"&amp;Edges37[[#This Row],[Vertex 1]],GroupVertices[Vertex],0)),1,1,"")</f>
        <v>8</v>
      </c>
      <c r="BU95" s="112" t="str">
        <f>REPLACE(INDEX(GroupVertices[Group],MATCH("~"&amp;Edges37[[#This Row],[Vertex 2]],GroupVertices[Vertex],0)),1,1,"")</f>
        <v>11</v>
      </c>
    </row>
    <row r="96" spans="1:73" ht="15">
      <c r="A96" s="59" t="s">
        <v>275</v>
      </c>
      <c r="B96" s="59" t="s">
        <v>354</v>
      </c>
      <c r="C96" s="60"/>
      <c r="D96" s="61"/>
      <c r="E96" s="62"/>
      <c r="F96" s="63"/>
      <c r="G96" s="60"/>
      <c r="H96" s="64"/>
      <c r="I96" s="65"/>
      <c r="J96" s="65"/>
      <c r="K96" s="30" t="s">
        <v>65</v>
      </c>
      <c r="L96" s="72">
        <v>124</v>
      </c>
      <c r="M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6" s="67"/>
      <c r="O96" t="s">
        <v>482</v>
      </c>
      <c r="P96" s="73">
        <v>44772.65677083333</v>
      </c>
      <c r="Q96" t="s">
        <v>578</v>
      </c>
      <c r="R96">
        <v>0</v>
      </c>
      <c r="S96">
        <v>1</v>
      </c>
      <c r="T96">
        <v>1</v>
      </c>
      <c r="U96">
        <v>0</v>
      </c>
      <c r="W96" s="74" t="s">
        <v>682</v>
      </c>
      <c r="Z96" t="s">
        <v>354</v>
      </c>
      <c r="AC96" s="74" t="s">
        <v>787</v>
      </c>
      <c r="AD96" t="s">
        <v>798</v>
      </c>
      <c r="AE96" s="75" t="str">
        <f>HYPERLINK("https://twitter.com/enirositaa/status/1553406502152523777")</f>
        <v>https://twitter.com/enirositaa/status/1553406502152523777</v>
      </c>
      <c r="AF96" s="73">
        <v>44772.65677083333</v>
      </c>
      <c r="AG96" s="77">
        <v>44772</v>
      </c>
      <c r="AH96" s="74" t="s">
        <v>892</v>
      </c>
      <c r="AV96" s="75" t="str">
        <f>HYPERLINK("https://pbs.twimg.com/profile_images/1728903111551647744/X7Of6-hz_normal.jpg")</f>
        <v>https://pbs.twimg.com/profile_images/1728903111551647744/X7Of6-hz_normal.jpg</v>
      </c>
      <c r="AW96" s="74" t="s">
        <v>1113</v>
      </c>
      <c r="AX96" s="74" t="s">
        <v>1280</v>
      </c>
      <c r="AY96" s="74" t="s">
        <v>1330</v>
      </c>
      <c r="AZ96" s="74" t="s">
        <v>1280</v>
      </c>
      <c r="BA96" s="74" t="s">
        <v>1384</v>
      </c>
      <c r="BB96" s="74" t="s">
        <v>1384</v>
      </c>
      <c r="BC96" s="74" t="s">
        <v>1280</v>
      </c>
      <c r="BD96">
        <v>453291086</v>
      </c>
      <c r="BJ96" s="44">
        <v>0</v>
      </c>
      <c r="BK96" s="45">
        <v>0</v>
      </c>
      <c r="BL96" s="44">
        <v>0</v>
      </c>
      <c r="BM96" s="45">
        <v>0</v>
      </c>
      <c r="BN96" s="44">
        <v>0</v>
      </c>
      <c r="BO96" s="45">
        <v>0</v>
      </c>
      <c r="BP96" s="44">
        <v>2</v>
      </c>
      <c r="BQ96" s="45">
        <v>100</v>
      </c>
      <c r="BR96" s="44">
        <v>2</v>
      </c>
      <c r="BS96">
        <v>1</v>
      </c>
      <c r="BT96" s="112" t="str">
        <f>REPLACE(INDEX(GroupVertices[Group],MATCH("~"&amp;Edges37[[#This Row],[Vertex 1]],GroupVertices[Vertex],0)),1,1,"")</f>
        <v>15</v>
      </c>
      <c r="BU96" s="112" t="str">
        <f>REPLACE(INDEX(GroupVertices[Group],MATCH("~"&amp;Edges37[[#This Row],[Vertex 2]],GroupVertices[Vertex],0)),1,1,"")</f>
        <v>15</v>
      </c>
    </row>
    <row r="97" spans="1:73" ht="15">
      <c r="A97" s="59" t="s">
        <v>275</v>
      </c>
      <c r="B97" s="59" t="s">
        <v>399</v>
      </c>
      <c r="C97" s="60"/>
      <c r="D97" s="61"/>
      <c r="E97" s="62"/>
      <c r="F97" s="63"/>
      <c r="G97" s="60"/>
      <c r="H97" s="64"/>
      <c r="I97" s="65"/>
      <c r="J97" s="65"/>
      <c r="K97" s="30" t="s">
        <v>65</v>
      </c>
      <c r="L97" s="72">
        <v>125</v>
      </c>
      <c r="M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7" s="67"/>
      <c r="O97" t="s">
        <v>482</v>
      </c>
      <c r="P97" s="73">
        <v>44744.563425925924</v>
      </c>
      <c r="Q97" t="s">
        <v>579</v>
      </c>
      <c r="R97">
        <v>0</v>
      </c>
      <c r="S97">
        <v>0</v>
      </c>
      <c r="T97">
        <v>0</v>
      </c>
      <c r="U97">
        <v>0</v>
      </c>
      <c r="W97" s="74" t="s">
        <v>682</v>
      </c>
      <c r="Z97" t="s">
        <v>399</v>
      </c>
      <c r="AC97" s="74" t="s">
        <v>787</v>
      </c>
      <c r="AD97" t="s">
        <v>798</v>
      </c>
      <c r="AE97" s="75" t="str">
        <f>HYPERLINK("https://twitter.com/enirositaa/status/1543225814455422978")</f>
        <v>https://twitter.com/enirositaa/status/1543225814455422978</v>
      </c>
      <c r="AF97" s="73">
        <v>44744.563425925924</v>
      </c>
      <c r="AG97" s="77">
        <v>44744</v>
      </c>
      <c r="AH97" s="74" t="s">
        <v>893</v>
      </c>
      <c r="AV97" s="75" t="str">
        <f>HYPERLINK("https://pbs.twimg.com/profile_images/1728903111551647744/X7Of6-hz_normal.jpg")</f>
        <v>https://pbs.twimg.com/profile_images/1728903111551647744/X7Of6-hz_normal.jpg</v>
      </c>
      <c r="AW97" s="74" t="s">
        <v>1114</v>
      </c>
      <c r="AX97" s="74" t="s">
        <v>1281</v>
      </c>
      <c r="AY97" s="74" t="s">
        <v>1357</v>
      </c>
      <c r="AZ97" s="74" t="s">
        <v>1281</v>
      </c>
      <c r="BA97" s="74" t="s">
        <v>1384</v>
      </c>
      <c r="BB97" s="74" t="s">
        <v>1384</v>
      </c>
      <c r="BC97" s="74" t="s">
        <v>1281</v>
      </c>
      <c r="BD97">
        <v>453291086</v>
      </c>
      <c r="BJ97" s="44">
        <v>0</v>
      </c>
      <c r="BK97" s="45">
        <v>0</v>
      </c>
      <c r="BL97" s="44">
        <v>0</v>
      </c>
      <c r="BM97" s="45">
        <v>0</v>
      </c>
      <c r="BN97" s="44">
        <v>0</v>
      </c>
      <c r="BO97" s="45">
        <v>0</v>
      </c>
      <c r="BP97" s="44">
        <v>2</v>
      </c>
      <c r="BQ97" s="45">
        <v>100</v>
      </c>
      <c r="BR97" s="44">
        <v>2</v>
      </c>
      <c r="BS97">
        <v>1</v>
      </c>
      <c r="BT97" s="112" t="str">
        <f>REPLACE(INDEX(GroupVertices[Group],MATCH("~"&amp;Edges37[[#This Row],[Vertex 1]],GroupVertices[Vertex],0)),1,1,"")</f>
        <v>15</v>
      </c>
      <c r="BU97" s="112" t="str">
        <f>REPLACE(INDEX(GroupVertices[Group],MATCH("~"&amp;Edges37[[#This Row],[Vertex 2]],GroupVertices[Vertex],0)),1,1,"")</f>
        <v>15</v>
      </c>
    </row>
    <row r="98" spans="1:73" ht="15">
      <c r="A98" s="59" t="s">
        <v>275</v>
      </c>
      <c r="B98" s="59" t="s">
        <v>400</v>
      </c>
      <c r="C98" s="60"/>
      <c r="D98" s="61"/>
      <c r="E98" s="62"/>
      <c r="F98" s="63"/>
      <c r="G98" s="60"/>
      <c r="H98" s="64"/>
      <c r="I98" s="65"/>
      <c r="J98" s="65"/>
      <c r="K98" s="30" t="s">
        <v>65</v>
      </c>
      <c r="L98" s="72">
        <v>126</v>
      </c>
      <c r="M9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8" s="67"/>
      <c r="O98" t="s">
        <v>482</v>
      </c>
      <c r="P98" s="73">
        <v>44793.94712962963</v>
      </c>
      <c r="Q98" t="s">
        <v>580</v>
      </c>
      <c r="R98">
        <v>0</v>
      </c>
      <c r="S98">
        <v>0</v>
      </c>
      <c r="T98">
        <v>0</v>
      </c>
      <c r="U98">
        <v>0</v>
      </c>
      <c r="W98" s="74" t="s">
        <v>682</v>
      </c>
      <c r="Z98" t="s">
        <v>400</v>
      </c>
      <c r="AC98" s="74" t="s">
        <v>787</v>
      </c>
      <c r="AD98" t="s">
        <v>798</v>
      </c>
      <c r="AE98" s="75" t="str">
        <f>HYPERLINK("https://twitter.com/enirositaa/status/1561121868098068480")</f>
        <v>https://twitter.com/enirositaa/status/1561121868098068480</v>
      </c>
      <c r="AF98" s="73">
        <v>44793.94712962963</v>
      </c>
      <c r="AG98" s="77">
        <v>44793</v>
      </c>
      <c r="AH98" s="74" t="s">
        <v>894</v>
      </c>
      <c r="AV98" s="75" t="str">
        <f>HYPERLINK("https://pbs.twimg.com/profile_images/1728903111551647744/X7Of6-hz_normal.jpg")</f>
        <v>https://pbs.twimg.com/profile_images/1728903111551647744/X7Of6-hz_normal.jpg</v>
      </c>
      <c r="AW98" s="74" t="s">
        <v>1115</v>
      </c>
      <c r="AX98" s="74" t="s">
        <v>1282</v>
      </c>
      <c r="AY98" s="74" t="s">
        <v>1358</v>
      </c>
      <c r="AZ98" s="74" t="s">
        <v>1282</v>
      </c>
      <c r="BA98" s="74" t="s">
        <v>1384</v>
      </c>
      <c r="BB98" s="74" t="s">
        <v>1384</v>
      </c>
      <c r="BC98" s="74" t="s">
        <v>1282</v>
      </c>
      <c r="BD98">
        <v>453291086</v>
      </c>
      <c r="BJ98" s="44">
        <v>0</v>
      </c>
      <c r="BK98" s="45">
        <v>0</v>
      </c>
      <c r="BL98" s="44">
        <v>0</v>
      </c>
      <c r="BM98" s="45">
        <v>0</v>
      </c>
      <c r="BN98" s="44">
        <v>0</v>
      </c>
      <c r="BO98" s="45">
        <v>0</v>
      </c>
      <c r="BP98" s="44">
        <v>2</v>
      </c>
      <c r="BQ98" s="45">
        <v>100</v>
      </c>
      <c r="BR98" s="44">
        <v>2</v>
      </c>
      <c r="BS98">
        <v>1</v>
      </c>
      <c r="BT98" s="112" t="str">
        <f>REPLACE(INDEX(GroupVertices[Group],MATCH("~"&amp;Edges37[[#This Row],[Vertex 1]],GroupVertices[Vertex],0)),1,1,"")</f>
        <v>15</v>
      </c>
      <c r="BU98" s="112" t="str">
        <f>REPLACE(INDEX(GroupVertices[Group],MATCH("~"&amp;Edges37[[#This Row],[Vertex 2]],GroupVertices[Vertex],0)),1,1,"")</f>
        <v>15</v>
      </c>
    </row>
    <row r="99" spans="1:73" ht="15">
      <c r="A99" s="59" t="s">
        <v>276</v>
      </c>
      <c r="B99" s="59" t="s">
        <v>401</v>
      </c>
      <c r="C99" s="60"/>
      <c r="D99" s="61"/>
      <c r="E99" s="62"/>
      <c r="F99" s="63"/>
      <c r="G99" s="60"/>
      <c r="H99" s="64"/>
      <c r="I99" s="65"/>
      <c r="J99" s="65"/>
      <c r="K99" s="30" t="s">
        <v>65</v>
      </c>
      <c r="L99" s="72">
        <v>127</v>
      </c>
      <c r="M9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9" s="67"/>
      <c r="O99" t="s">
        <v>482</v>
      </c>
      <c r="P99" s="73">
        <v>44768.47734953704</v>
      </c>
      <c r="Q99" t="s">
        <v>581</v>
      </c>
      <c r="R99">
        <v>0</v>
      </c>
      <c r="S99">
        <v>0</v>
      </c>
      <c r="T99">
        <v>0</v>
      </c>
      <c r="U99">
        <v>0</v>
      </c>
      <c r="Z99" t="s">
        <v>401</v>
      </c>
      <c r="AC99" s="74" t="s">
        <v>787</v>
      </c>
      <c r="AD99" t="s">
        <v>794</v>
      </c>
      <c r="AE99" s="75" t="str">
        <f>HYPERLINK("https://twitter.com/nfatqi/status/1551891930619019266")</f>
        <v>https://twitter.com/nfatqi/status/1551891930619019266</v>
      </c>
      <c r="AF99" s="73">
        <v>44768.47734953704</v>
      </c>
      <c r="AG99" s="77">
        <v>44768</v>
      </c>
      <c r="AH99" s="74" t="s">
        <v>895</v>
      </c>
      <c r="AV99" s="75" t="str">
        <f>HYPERLINK("https://pbs.twimg.com/profile_images/1215556700788289537/Zxt1Ktw7_normal.jpg")</f>
        <v>https://pbs.twimg.com/profile_images/1215556700788289537/Zxt1Ktw7_normal.jpg</v>
      </c>
      <c r="AW99" s="74" t="s">
        <v>1116</v>
      </c>
      <c r="AX99" s="74" t="s">
        <v>1283</v>
      </c>
      <c r="AY99" s="74" t="s">
        <v>1359</v>
      </c>
      <c r="AZ99" s="74" t="s">
        <v>1283</v>
      </c>
      <c r="BA99" s="74" t="s">
        <v>1384</v>
      </c>
      <c r="BB99" s="74" t="s">
        <v>1384</v>
      </c>
      <c r="BC99" s="74" t="s">
        <v>1283</v>
      </c>
      <c r="BD99" s="74" t="s">
        <v>1439</v>
      </c>
      <c r="BJ99" s="44">
        <v>3</v>
      </c>
      <c r="BK99" s="45">
        <v>75</v>
      </c>
      <c r="BL99" s="44">
        <v>0</v>
      </c>
      <c r="BM99" s="45">
        <v>0</v>
      </c>
      <c r="BN99" s="44">
        <v>0</v>
      </c>
      <c r="BO99" s="45">
        <v>0</v>
      </c>
      <c r="BP99" s="44">
        <v>1</v>
      </c>
      <c r="BQ99" s="45">
        <v>25</v>
      </c>
      <c r="BR99" s="44">
        <v>4</v>
      </c>
      <c r="BS99">
        <v>1</v>
      </c>
      <c r="BT99" s="112" t="str">
        <f>REPLACE(INDEX(GroupVertices[Group],MATCH("~"&amp;Edges37[[#This Row],[Vertex 1]],GroupVertices[Vertex],0)),1,1,"")</f>
        <v>27</v>
      </c>
      <c r="BU99" s="112" t="str">
        <f>REPLACE(INDEX(GroupVertices[Group],MATCH("~"&amp;Edges37[[#This Row],[Vertex 2]],GroupVertices[Vertex],0)),1,1,"")</f>
        <v>27</v>
      </c>
    </row>
    <row r="100" spans="1:73" ht="15">
      <c r="A100" s="59" t="s">
        <v>277</v>
      </c>
      <c r="B100" s="59" t="s">
        <v>402</v>
      </c>
      <c r="C100" s="60"/>
      <c r="D100" s="61"/>
      <c r="E100" s="62"/>
      <c r="F100" s="63"/>
      <c r="G100" s="60"/>
      <c r="H100" s="64"/>
      <c r="I100" s="65"/>
      <c r="J100" s="65"/>
      <c r="K100" s="30" t="s">
        <v>65</v>
      </c>
      <c r="L100" s="72">
        <v>128</v>
      </c>
      <c r="M10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0" s="67"/>
      <c r="O100" t="s">
        <v>483</v>
      </c>
      <c r="P100" s="73">
        <v>44553.29200231482</v>
      </c>
      <c r="Q100" t="s">
        <v>582</v>
      </c>
      <c r="R100">
        <v>0</v>
      </c>
      <c r="S100">
        <v>0</v>
      </c>
      <c r="T100">
        <v>0</v>
      </c>
      <c r="U100">
        <v>0</v>
      </c>
      <c r="Z100" t="s">
        <v>745</v>
      </c>
      <c r="AC100" s="74" t="s">
        <v>787</v>
      </c>
      <c r="AD100" t="s">
        <v>794</v>
      </c>
      <c r="AE100" s="75" t="str">
        <f>HYPERLINK("https://twitter.com/hasan_rosadi/status/1473911373255958528")</f>
        <v>https://twitter.com/hasan_rosadi/status/1473911373255958528</v>
      </c>
      <c r="AF100" s="73">
        <v>44553.29200231482</v>
      </c>
      <c r="AG100" s="77">
        <v>44553</v>
      </c>
      <c r="AH100" s="74" t="s">
        <v>896</v>
      </c>
      <c r="AV100" s="75" t="str">
        <f>HYPERLINK("https://pbs.twimg.com/profile_images/1456664684006821896/pcmqbuw1_normal.jpg")</f>
        <v>https://pbs.twimg.com/profile_images/1456664684006821896/pcmqbuw1_normal.jpg</v>
      </c>
      <c r="AW100" s="74" t="s">
        <v>1117</v>
      </c>
      <c r="AX100" s="74" t="s">
        <v>1284</v>
      </c>
      <c r="AY100" s="74" t="s">
        <v>1360</v>
      </c>
      <c r="AZ100" s="74" t="s">
        <v>1284</v>
      </c>
      <c r="BA100" s="74" t="s">
        <v>1384</v>
      </c>
      <c r="BB100" s="74" t="s">
        <v>1384</v>
      </c>
      <c r="BC100" s="74" t="s">
        <v>1284</v>
      </c>
      <c r="BD100">
        <v>232178767</v>
      </c>
      <c r="BJ100" s="44"/>
      <c r="BK100" s="45"/>
      <c r="BL100" s="44"/>
      <c r="BM100" s="45"/>
      <c r="BN100" s="44"/>
      <c r="BO100" s="45"/>
      <c r="BP100" s="44"/>
      <c r="BQ100" s="45"/>
      <c r="BR100" s="44"/>
      <c r="BS100">
        <v>1</v>
      </c>
      <c r="BT100" s="112" t="str">
        <f>REPLACE(INDEX(GroupVertices[Group],MATCH("~"&amp;Edges37[[#This Row],[Vertex 1]],GroupVertices[Vertex],0)),1,1,"")</f>
        <v>20</v>
      </c>
      <c r="BU100" s="112" t="str">
        <f>REPLACE(INDEX(GroupVertices[Group],MATCH("~"&amp;Edges37[[#This Row],[Vertex 2]],GroupVertices[Vertex],0)),1,1,"")</f>
        <v>20</v>
      </c>
    </row>
    <row r="101" spans="1:73" ht="15">
      <c r="A101" s="59" t="s">
        <v>278</v>
      </c>
      <c r="B101" s="59" t="s">
        <v>341</v>
      </c>
      <c r="C101" s="60"/>
      <c r="D101" s="61"/>
      <c r="E101" s="62"/>
      <c r="F101" s="63"/>
      <c r="G101" s="60"/>
      <c r="H101" s="64"/>
      <c r="I101" s="65"/>
      <c r="J101" s="65"/>
      <c r="K101" s="30" t="s">
        <v>65</v>
      </c>
      <c r="L101" s="72">
        <v>130</v>
      </c>
      <c r="M10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1" s="67"/>
      <c r="O101" t="s">
        <v>484</v>
      </c>
      <c r="P101" s="73">
        <v>44572.5255787037</v>
      </c>
      <c r="Q101" t="s">
        <v>583</v>
      </c>
      <c r="R101">
        <v>0</v>
      </c>
      <c r="S101">
        <v>0</v>
      </c>
      <c r="T101">
        <v>0</v>
      </c>
      <c r="U101">
        <v>0</v>
      </c>
      <c r="AC101" s="74" t="s">
        <v>787</v>
      </c>
      <c r="AD101" t="s">
        <v>794</v>
      </c>
      <c r="AE101" s="75" t="str">
        <f>HYPERLINK("https://twitter.com/ucoxregar/status/1480881385283809282")</f>
        <v>https://twitter.com/ucoxregar/status/1480881385283809282</v>
      </c>
      <c r="AF101" s="73">
        <v>44572.5255787037</v>
      </c>
      <c r="AG101" s="77">
        <v>44572</v>
      </c>
      <c r="AH101" s="74" t="s">
        <v>897</v>
      </c>
      <c r="AV101" s="75" t="str">
        <f>HYPERLINK("https://pbs.twimg.com/profile_images/1718618960466415617/yCO718Gu_normal.jpg")</f>
        <v>https://pbs.twimg.com/profile_images/1718618960466415617/yCO718Gu_normal.jpg</v>
      </c>
      <c r="AW101" s="74" t="s">
        <v>1118</v>
      </c>
      <c r="AX101" s="74" t="s">
        <v>1118</v>
      </c>
      <c r="AZ101" s="74" t="s">
        <v>1384</v>
      </c>
      <c r="BA101" s="74" t="s">
        <v>1222</v>
      </c>
      <c r="BB101" s="74" t="s">
        <v>1384</v>
      </c>
      <c r="BC101" s="74" t="s">
        <v>1222</v>
      </c>
      <c r="BD101" s="74" t="s">
        <v>1440</v>
      </c>
      <c r="BJ101" s="44">
        <v>3</v>
      </c>
      <c r="BK101" s="45">
        <v>100</v>
      </c>
      <c r="BL101" s="44">
        <v>0</v>
      </c>
      <c r="BM101" s="45">
        <v>0</v>
      </c>
      <c r="BN101" s="44">
        <v>0</v>
      </c>
      <c r="BO101" s="45">
        <v>0</v>
      </c>
      <c r="BP101" s="44">
        <v>0</v>
      </c>
      <c r="BQ101" s="45">
        <v>0</v>
      </c>
      <c r="BR101" s="44">
        <v>3</v>
      </c>
      <c r="BS101">
        <v>1</v>
      </c>
      <c r="BT101" s="112" t="str">
        <f>REPLACE(INDEX(GroupVertices[Group],MATCH("~"&amp;Edges37[[#This Row],[Vertex 1]],GroupVertices[Vertex],0)),1,1,"")</f>
        <v>6</v>
      </c>
      <c r="BU101" s="112" t="str">
        <f>REPLACE(INDEX(GroupVertices[Group],MATCH("~"&amp;Edges37[[#This Row],[Vertex 2]],GroupVertices[Vertex],0)),1,1,"")</f>
        <v>6</v>
      </c>
    </row>
    <row r="102" spans="1:73" ht="15">
      <c r="A102" s="59" t="s">
        <v>279</v>
      </c>
      <c r="B102" s="59" t="s">
        <v>404</v>
      </c>
      <c r="C102" s="60"/>
      <c r="D102" s="61"/>
      <c r="E102" s="62"/>
      <c r="F102" s="63"/>
      <c r="G102" s="60"/>
      <c r="H102" s="64"/>
      <c r="I102" s="65"/>
      <c r="J102" s="65"/>
      <c r="K102" s="30" t="s">
        <v>65</v>
      </c>
      <c r="L102" s="72">
        <v>131</v>
      </c>
      <c r="M10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2" s="67"/>
      <c r="O102" t="s">
        <v>482</v>
      </c>
      <c r="P102" s="73">
        <v>44850.56978009259</v>
      </c>
      <c r="Q102" t="s">
        <v>584</v>
      </c>
      <c r="R102">
        <v>0</v>
      </c>
      <c r="S102">
        <v>0</v>
      </c>
      <c r="T102">
        <v>0</v>
      </c>
      <c r="U102">
        <v>0</v>
      </c>
      <c r="Z102" t="s">
        <v>404</v>
      </c>
      <c r="AC102" s="74" t="s">
        <v>787</v>
      </c>
      <c r="AD102" t="s">
        <v>794</v>
      </c>
      <c r="AE102" s="75" t="str">
        <f>HYPERLINK("https://twitter.com/salam_santun/status/1581641229728886789")</f>
        <v>https://twitter.com/salam_santun/status/1581641229728886789</v>
      </c>
      <c r="AF102" s="73">
        <v>44850.56978009259</v>
      </c>
      <c r="AG102" s="77">
        <v>44850</v>
      </c>
      <c r="AH102" s="74" t="s">
        <v>898</v>
      </c>
      <c r="AV102" s="75" t="str">
        <f>HYPERLINK("https://pbs.twimg.com/profile_images/1622508599758188544/gYjVd1Sc_normal.jpg")</f>
        <v>https://pbs.twimg.com/profile_images/1622508599758188544/gYjVd1Sc_normal.jpg</v>
      </c>
      <c r="AW102" s="74" t="s">
        <v>1119</v>
      </c>
      <c r="AX102" s="74" t="s">
        <v>1285</v>
      </c>
      <c r="AY102" s="74" t="s">
        <v>1361</v>
      </c>
      <c r="AZ102" s="74" t="s">
        <v>1285</v>
      </c>
      <c r="BA102" s="74" t="s">
        <v>1384</v>
      </c>
      <c r="BB102" s="74" t="s">
        <v>1384</v>
      </c>
      <c r="BC102" s="74" t="s">
        <v>1285</v>
      </c>
      <c r="BD102" s="74" t="s">
        <v>1441</v>
      </c>
      <c r="BJ102" s="44">
        <v>3</v>
      </c>
      <c r="BK102" s="45">
        <v>21.428571428571427</v>
      </c>
      <c r="BL102" s="44">
        <v>0</v>
      </c>
      <c r="BM102" s="45">
        <v>0</v>
      </c>
      <c r="BN102" s="44">
        <v>0</v>
      </c>
      <c r="BO102" s="45">
        <v>0</v>
      </c>
      <c r="BP102" s="44">
        <v>11</v>
      </c>
      <c r="BQ102" s="45">
        <v>78.57142857142857</v>
      </c>
      <c r="BR102" s="44">
        <v>14</v>
      </c>
      <c r="BS102">
        <v>1</v>
      </c>
      <c r="BT102" s="112" t="str">
        <f>REPLACE(INDEX(GroupVertices[Group],MATCH("~"&amp;Edges37[[#This Row],[Vertex 1]],GroupVertices[Vertex],0)),1,1,"")</f>
        <v>28</v>
      </c>
      <c r="BU102" s="112" t="str">
        <f>REPLACE(INDEX(GroupVertices[Group],MATCH("~"&amp;Edges37[[#This Row],[Vertex 2]],GroupVertices[Vertex],0)),1,1,"")</f>
        <v>28</v>
      </c>
    </row>
    <row r="103" spans="1:73" ht="15">
      <c r="A103" s="59" t="s">
        <v>280</v>
      </c>
      <c r="B103" s="59" t="s">
        <v>341</v>
      </c>
      <c r="C103" s="60"/>
      <c r="D103" s="61"/>
      <c r="E103" s="62"/>
      <c r="F103" s="63"/>
      <c r="G103" s="60"/>
      <c r="H103" s="64"/>
      <c r="I103" s="65"/>
      <c r="J103" s="65"/>
      <c r="K103" s="30" t="s">
        <v>65</v>
      </c>
      <c r="L103" s="72">
        <v>132</v>
      </c>
      <c r="M10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3" s="67"/>
      <c r="O103" t="s">
        <v>482</v>
      </c>
      <c r="P103" s="73">
        <v>44578.351435185185</v>
      </c>
      <c r="Q103" t="s">
        <v>585</v>
      </c>
      <c r="R103">
        <v>0</v>
      </c>
      <c r="S103">
        <v>0</v>
      </c>
      <c r="T103">
        <v>0</v>
      </c>
      <c r="U103">
        <v>0</v>
      </c>
      <c r="Z103" t="s">
        <v>341</v>
      </c>
      <c r="AC103" s="74" t="s">
        <v>787</v>
      </c>
      <c r="AD103" t="s">
        <v>794</v>
      </c>
      <c r="AE103" s="75" t="str">
        <f>HYPERLINK("https://twitter.com/esupriatna20/status/1482992605289799680")</f>
        <v>https://twitter.com/esupriatna20/status/1482992605289799680</v>
      </c>
      <c r="AF103" s="73">
        <v>44578.351435185185</v>
      </c>
      <c r="AG103" s="77">
        <v>44578</v>
      </c>
      <c r="AH103" s="74" t="s">
        <v>899</v>
      </c>
      <c r="AV103" s="75" t="str">
        <f>HYPERLINK("https://pbs.twimg.com/profile_images/1341577639702659072/fJ_5NTff_normal.jpg")</f>
        <v>https://pbs.twimg.com/profile_images/1341577639702659072/fJ_5NTff_normal.jpg</v>
      </c>
      <c r="AW103" s="74" t="s">
        <v>1120</v>
      </c>
      <c r="AX103" s="74" t="s">
        <v>1252</v>
      </c>
      <c r="AY103" s="74" t="s">
        <v>1328</v>
      </c>
      <c r="AZ103" s="74" t="s">
        <v>1252</v>
      </c>
      <c r="BA103" s="74" t="s">
        <v>1384</v>
      </c>
      <c r="BB103" s="74" t="s">
        <v>1384</v>
      </c>
      <c r="BC103" s="74" t="s">
        <v>1252</v>
      </c>
      <c r="BD103" s="74" t="s">
        <v>1442</v>
      </c>
      <c r="BJ103" s="44">
        <v>3</v>
      </c>
      <c r="BK103" s="45">
        <v>75</v>
      </c>
      <c r="BL103" s="44">
        <v>0</v>
      </c>
      <c r="BM103" s="45">
        <v>0</v>
      </c>
      <c r="BN103" s="44">
        <v>0</v>
      </c>
      <c r="BO103" s="45">
        <v>0</v>
      </c>
      <c r="BP103" s="44">
        <v>1</v>
      </c>
      <c r="BQ103" s="45">
        <v>25</v>
      </c>
      <c r="BR103" s="44">
        <v>4</v>
      </c>
      <c r="BS103">
        <v>1</v>
      </c>
      <c r="BT103" s="112" t="str">
        <f>REPLACE(INDEX(GroupVertices[Group],MATCH("~"&amp;Edges37[[#This Row],[Vertex 1]],GroupVertices[Vertex],0)),1,1,"")</f>
        <v>12</v>
      </c>
      <c r="BU103" s="112" t="str">
        <f>REPLACE(INDEX(GroupVertices[Group],MATCH("~"&amp;Edges37[[#This Row],[Vertex 2]],GroupVertices[Vertex],0)),1,1,"")</f>
        <v>6</v>
      </c>
    </row>
    <row r="104" spans="1:73" ht="15">
      <c r="A104" s="59" t="s">
        <v>280</v>
      </c>
      <c r="B104" s="59" t="s">
        <v>339</v>
      </c>
      <c r="C104" s="60"/>
      <c r="D104" s="61"/>
      <c r="E104" s="62"/>
      <c r="F104" s="63"/>
      <c r="G104" s="60"/>
      <c r="H104" s="64"/>
      <c r="I104" s="65"/>
      <c r="J104" s="65"/>
      <c r="K104" s="30" t="s">
        <v>65</v>
      </c>
      <c r="L104" s="72">
        <v>133</v>
      </c>
      <c r="M10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4" s="67"/>
      <c r="O104" t="s">
        <v>482</v>
      </c>
      <c r="P104" s="73">
        <v>44569.52217592593</v>
      </c>
      <c r="Q104" t="s">
        <v>586</v>
      </c>
      <c r="R104">
        <v>0</v>
      </c>
      <c r="S104">
        <v>0</v>
      </c>
      <c r="T104">
        <v>0</v>
      </c>
      <c r="U104">
        <v>0</v>
      </c>
      <c r="Z104" t="s">
        <v>339</v>
      </c>
      <c r="AC104" s="74" t="s">
        <v>787</v>
      </c>
      <c r="AD104" t="s">
        <v>794</v>
      </c>
      <c r="AE104" s="75" t="str">
        <f>HYPERLINK("https://twitter.com/esupriatna20/status/1479792989702524932")</f>
        <v>https://twitter.com/esupriatna20/status/1479792989702524932</v>
      </c>
      <c r="AF104" s="73">
        <v>44569.52217592593</v>
      </c>
      <c r="AG104" s="77">
        <v>44569</v>
      </c>
      <c r="AH104" s="74" t="s">
        <v>900</v>
      </c>
      <c r="AV104" s="75" t="str">
        <f>HYPERLINK("https://pbs.twimg.com/profile_images/1341577639702659072/fJ_5NTff_normal.jpg")</f>
        <v>https://pbs.twimg.com/profile_images/1341577639702659072/fJ_5NTff_normal.jpg</v>
      </c>
      <c r="AW104" s="74" t="s">
        <v>1121</v>
      </c>
      <c r="AX104" s="74" t="s">
        <v>1286</v>
      </c>
      <c r="AY104" s="74" t="s">
        <v>1324</v>
      </c>
      <c r="AZ104" s="74" t="s">
        <v>1286</v>
      </c>
      <c r="BA104" s="74" t="s">
        <v>1384</v>
      </c>
      <c r="BB104" s="74" t="s">
        <v>1384</v>
      </c>
      <c r="BC104" s="74" t="s">
        <v>1286</v>
      </c>
      <c r="BD104" s="74" t="s">
        <v>1442</v>
      </c>
      <c r="BJ104" s="44">
        <v>5</v>
      </c>
      <c r="BK104" s="45">
        <v>41.666666666666664</v>
      </c>
      <c r="BL104" s="44">
        <v>0</v>
      </c>
      <c r="BM104" s="45">
        <v>0</v>
      </c>
      <c r="BN104" s="44">
        <v>0</v>
      </c>
      <c r="BO104" s="45">
        <v>0</v>
      </c>
      <c r="BP104" s="44">
        <v>7</v>
      </c>
      <c r="BQ104" s="45">
        <v>58.333333333333336</v>
      </c>
      <c r="BR104" s="44">
        <v>12</v>
      </c>
      <c r="BS104">
        <v>8</v>
      </c>
      <c r="BT104" s="112" t="str">
        <f>REPLACE(INDEX(GroupVertices[Group],MATCH("~"&amp;Edges37[[#This Row],[Vertex 1]],GroupVertices[Vertex],0)),1,1,"")</f>
        <v>12</v>
      </c>
      <c r="BU104" s="112" t="str">
        <f>REPLACE(INDEX(GroupVertices[Group],MATCH("~"&amp;Edges37[[#This Row],[Vertex 2]],GroupVertices[Vertex],0)),1,1,"")</f>
        <v>12</v>
      </c>
    </row>
    <row r="105" spans="1:73" ht="15">
      <c r="A105" s="59" t="s">
        <v>281</v>
      </c>
      <c r="B105" s="59" t="s">
        <v>281</v>
      </c>
      <c r="C105" s="60"/>
      <c r="D105" s="61"/>
      <c r="E105" s="62"/>
      <c r="F105" s="63"/>
      <c r="G105" s="60"/>
      <c r="H105" s="64"/>
      <c r="I105" s="65"/>
      <c r="J105" s="65"/>
      <c r="K105" s="30" t="s">
        <v>65</v>
      </c>
      <c r="L105" s="72">
        <v>134</v>
      </c>
      <c r="M10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5" s="67"/>
      <c r="O105" t="s">
        <v>177</v>
      </c>
      <c r="P105" s="73">
        <v>44587.382893518516</v>
      </c>
      <c r="Q105" t="s">
        <v>587</v>
      </c>
      <c r="R105">
        <v>39</v>
      </c>
      <c r="S105">
        <v>98</v>
      </c>
      <c r="T105">
        <v>2</v>
      </c>
      <c r="U105">
        <v>2</v>
      </c>
      <c r="AA105" t="s">
        <v>771</v>
      </c>
      <c r="AB105" t="s">
        <v>784</v>
      </c>
      <c r="AC105" s="74" t="s">
        <v>787</v>
      </c>
      <c r="AD105" t="s">
        <v>794</v>
      </c>
      <c r="AE105" s="75" t="str">
        <f>HYPERLINK("https://twitter.com/lovelyb1e/status/1486265497721372672")</f>
        <v>https://twitter.com/lovelyb1e/status/1486265497721372672</v>
      </c>
      <c r="AF105" s="73">
        <v>44587.382893518516</v>
      </c>
      <c r="AG105" s="77">
        <v>44587</v>
      </c>
      <c r="AH105" s="74" t="s">
        <v>901</v>
      </c>
      <c r="AI105" t="b">
        <v>0</v>
      </c>
      <c r="AQ105" t="s">
        <v>1009</v>
      </c>
      <c r="AR105">
        <v>139483</v>
      </c>
      <c r="AV105" s="75" t="str">
        <f>HYPERLINK("https://pbs.twimg.com/ext_tw_video_thumb/1486265258822213632/pu/img/qCR7AyrOm0XJjBNj.jpg")</f>
        <v>https://pbs.twimg.com/ext_tw_video_thumb/1486265258822213632/pu/img/qCR7AyrOm0XJjBNj.jpg</v>
      </c>
      <c r="AW105" s="74" t="s">
        <v>1122</v>
      </c>
      <c r="AX105" s="74" t="s">
        <v>1122</v>
      </c>
      <c r="AZ105" s="74" t="s">
        <v>1384</v>
      </c>
      <c r="BA105" s="74" t="s">
        <v>1384</v>
      </c>
      <c r="BB105" s="74" t="s">
        <v>1384</v>
      </c>
      <c r="BC105" s="74" t="s">
        <v>1122</v>
      </c>
      <c r="BD105" s="74" t="s">
        <v>1443</v>
      </c>
      <c r="BJ105" s="44">
        <v>3</v>
      </c>
      <c r="BK105" s="45">
        <v>10</v>
      </c>
      <c r="BL105" s="44">
        <v>0</v>
      </c>
      <c r="BM105" s="45">
        <v>0</v>
      </c>
      <c r="BN105" s="44">
        <v>0</v>
      </c>
      <c r="BO105" s="45">
        <v>0</v>
      </c>
      <c r="BP105" s="44">
        <v>27</v>
      </c>
      <c r="BQ105" s="45">
        <v>90</v>
      </c>
      <c r="BR105" s="44">
        <v>30</v>
      </c>
      <c r="BS105">
        <v>1</v>
      </c>
      <c r="BT105" s="112" t="str">
        <f>REPLACE(INDEX(GroupVertices[Group],MATCH("~"&amp;Edges37[[#This Row],[Vertex 1]],GroupVertices[Vertex],0)),1,1,"")</f>
        <v>41</v>
      </c>
      <c r="BU105" s="112" t="str">
        <f>REPLACE(INDEX(GroupVertices[Group],MATCH("~"&amp;Edges37[[#This Row],[Vertex 2]],GroupVertices[Vertex],0)),1,1,"")</f>
        <v>41</v>
      </c>
    </row>
    <row r="106" spans="1:73" ht="15">
      <c r="A106" s="59" t="s">
        <v>282</v>
      </c>
      <c r="B106" s="59" t="s">
        <v>405</v>
      </c>
      <c r="C106" s="60"/>
      <c r="D106" s="61"/>
      <c r="E106" s="62"/>
      <c r="F106" s="63"/>
      <c r="G106" s="60"/>
      <c r="H106" s="64"/>
      <c r="I106" s="65"/>
      <c r="J106" s="65"/>
      <c r="K106" s="30" t="s">
        <v>65</v>
      </c>
      <c r="L106" s="72">
        <v>135</v>
      </c>
      <c r="M10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6" s="67"/>
      <c r="O106" t="s">
        <v>483</v>
      </c>
      <c r="P106" s="73">
        <v>44890.66899305556</v>
      </c>
      <c r="Q106" t="s">
        <v>588</v>
      </c>
      <c r="R106">
        <v>0</v>
      </c>
      <c r="S106">
        <v>0</v>
      </c>
      <c r="T106">
        <v>0</v>
      </c>
      <c r="U106">
        <v>0</v>
      </c>
      <c r="W106" s="74" t="s">
        <v>694</v>
      </c>
      <c r="Z106" t="s">
        <v>746</v>
      </c>
      <c r="AC106" s="74" t="s">
        <v>787</v>
      </c>
      <c r="AD106" t="s">
        <v>794</v>
      </c>
      <c r="AE106" s="75" t="str">
        <f>HYPERLINK("https://twitter.com/reihan_djaya/status/1596172699813879808")</f>
        <v>https://twitter.com/reihan_djaya/status/1596172699813879808</v>
      </c>
      <c r="AF106" s="73">
        <v>44890.66899305556</v>
      </c>
      <c r="AG106" s="77">
        <v>44890</v>
      </c>
      <c r="AH106" s="74" t="s">
        <v>902</v>
      </c>
      <c r="AV106" s="75" t="str">
        <f>HYPERLINK("https://pbs.twimg.com/profile_images/1627012577229438976/zWpj0NFt_normal.jpg")</f>
        <v>https://pbs.twimg.com/profile_images/1627012577229438976/zWpj0NFt_normal.jpg</v>
      </c>
      <c r="AW106" s="74" t="s">
        <v>1123</v>
      </c>
      <c r="AX106" s="74" t="s">
        <v>1287</v>
      </c>
      <c r="AY106" s="74" t="s">
        <v>1362</v>
      </c>
      <c r="AZ106" s="74" t="s">
        <v>1287</v>
      </c>
      <c r="BA106" s="74" t="s">
        <v>1384</v>
      </c>
      <c r="BB106" s="74" t="s">
        <v>1384</v>
      </c>
      <c r="BC106" s="74" t="s">
        <v>1287</v>
      </c>
      <c r="BD106" s="74" t="s">
        <v>1444</v>
      </c>
      <c r="BJ106" s="44"/>
      <c r="BK106" s="45"/>
      <c r="BL106" s="44"/>
      <c r="BM106" s="45"/>
      <c r="BN106" s="44"/>
      <c r="BO106" s="45"/>
      <c r="BP106" s="44"/>
      <c r="BQ106" s="45"/>
      <c r="BR106" s="44"/>
      <c r="BS106">
        <v>1</v>
      </c>
      <c r="BT106" s="112" t="str">
        <f>REPLACE(INDEX(GroupVertices[Group],MATCH("~"&amp;Edges37[[#This Row],[Vertex 1]],GroupVertices[Vertex],0)),1,1,"")</f>
        <v>24</v>
      </c>
      <c r="BU106" s="112" t="str">
        <f>REPLACE(INDEX(GroupVertices[Group],MATCH("~"&amp;Edges37[[#This Row],[Vertex 2]],GroupVertices[Vertex],0)),1,1,"")</f>
        <v>24</v>
      </c>
    </row>
    <row r="107" spans="1:73" ht="15">
      <c r="A107" s="59" t="s">
        <v>283</v>
      </c>
      <c r="B107" s="59" t="s">
        <v>334</v>
      </c>
      <c r="C107" s="60"/>
      <c r="D107" s="61"/>
      <c r="E107" s="62"/>
      <c r="F107" s="63"/>
      <c r="G107" s="60"/>
      <c r="H107" s="64"/>
      <c r="I107" s="65"/>
      <c r="J107" s="65"/>
      <c r="K107" s="30" t="s">
        <v>65</v>
      </c>
      <c r="L107" s="72">
        <v>137</v>
      </c>
      <c r="M10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7" s="67"/>
      <c r="O107" t="s">
        <v>482</v>
      </c>
      <c r="P107" s="73">
        <v>44744.20626157407</v>
      </c>
      <c r="Q107" t="s">
        <v>589</v>
      </c>
      <c r="R107">
        <v>0</v>
      </c>
      <c r="S107">
        <v>0</v>
      </c>
      <c r="T107">
        <v>0</v>
      </c>
      <c r="U107">
        <v>0</v>
      </c>
      <c r="Z107" t="s">
        <v>334</v>
      </c>
      <c r="AC107" s="74" t="s">
        <v>787</v>
      </c>
      <c r="AD107" t="s">
        <v>794</v>
      </c>
      <c r="AE107" s="75" t="str">
        <f>HYPERLINK("https://twitter.com/slamet_24wiro/status/1543096380809310208")</f>
        <v>https://twitter.com/slamet_24wiro/status/1543096380809310208</v>
      </c>
      <c r="AF107" s="73">
        <v>44744.20626157407</v>
      </c>
      <c r="AG107" s="77">
        <v>44744</v>
      </c>
      <c r="AH107" s="74" t="s">
        <v>903</v>
      </c>
      <c r="AV107" s="75" t="str">
        <f>HYPERLINK("https://pbs.twimg.com/profile_images/1592850418349899776/6h41e7zV_normal.jpg")</f>
        <v>https://pbs.twimg.com/profile_images/1592850418349899776/6h41e7zV_normal.jpg</v>
      </c>
      <c r="AW107" s="74" t="s">
        <v>1124</v>
      </c>
      <c r="AX107" s="74" t="s">
        <v>1288</v>
      </c>
      <c r="AY107" s="74" t="s">
        <v>1327</v>
      </c>
      <c r="AZ107" s="74" t="s">
        <v>1288</v>
      </c>
      <c r="BA107" s="74" t="s">
        <v>1384</v>
      </c>
      <c r="BB107" s="74" t="s">
        <v>1384</v>
      </c>
      <c r="BC107" s="74" t="s">
        <v>1288</v>
      </c>
      <c r="BD107">
        <v>1417516794</v>
      </c>
      <c r="BJ107" s="44">
        <v>3</v>
      </c>
      <c r="BK107" s="45">
        <v>75</v>
      </c>
      <c r="BL107" s="44">
        <v>0</v>
      </c>
      <c r="BM107" s="45">
        <v>0</v>
      </c>
      <c r="BN107" s="44">
        <v>0</v>
      </c>
      <c r="BO107" s="45">
        <v>0</v>
      </c>
      <c r="BP107" s="44">
        <v>1</v>
      </c>
      <c r="BQ107" s="45">
        <v>25</v>
      </c>
      <c r="BR107" s="44">
        <v>4</v>
      </c>
      <c r="BS107">
        <v>1</v>
      </c>
      <c r="BT107" s="112" t="str">
        <f>REPLACE(INDEX(GroupVertices[Group],MATCH("~"&amp;Edges37[[#This Row],[Vertex 1]],GroupVertices[Vertex],0)),1,1,"")</f>
        <v>4</v>
      </c>
      <c r="BU107" s="112" t="str">
        <f>REPLACE(INDEX(GroupVertices[Group],MATCH("~"&amp;Edges37[[#This Row],[Vertex 2]],GroupVertices[Vertex],0)),1,1,"")</f>
        <v>4</v>
      </c>
    </row>
    <row r="108" spans="1:73" ht="15">
      <c r="A108" s="59" t="s">
        <v>284</v>
      </c>
      <c r="B108" s="59" t="s">
        <v>407</v>
      </c>
      <c r="C108" s="60"/>
      <c r="D108" s="61"/>
      <c r="E108" s="62"/>
      <c r="F108" s="63"/>
      <c r="G108" s="60"/>
      <c r="H108" s="64"/>
      <c r="I108" s="65"/>
      <c r="J108" s="65"/>
      <c r="K108" s="30" t="s">
        <v>65</v>
      </c>
      <c r="L108" s="72">
        <v>138</v>
      </c>
      <c r="M10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8" s="67"/>
      <c r="O108" t="s">
        <v>483</v>
      </c>
      <c r="P108" s="73">
        <v>44543.875543981485</v>
      </c>
      <c r="Q108" t="s">
        <v>590</v>
      </c>
      <c r="R108">
        <v>0</v>
      </c>
      <c r="S108">
        <v>0</v>
      </c>
      <c r="T108">
        <v>0</v>
      </c>
      <c r="U108">
        <v>0</v>
      </c>
      <c r="Z108" t="s">
        <v>747</v>
      </c>
      <c r="AC108" s="74" t="s">
        <v>787</v>
      </c>
      <c r="AD108" t="s">
        <v>794</v>
      </c>
      <c r="AE108" s="75" t="str">
        <f>HYPERLINK("https://twitter.com/hudsuharg/status/1470498960720920576")</f>
        <v>https://twitter.com/hudsuharg/status/1470498960720920576</v>
      </c>
      <c r="AF108" s="73">
        <v>44543.875543981485</v>
      </c>
      <c r="AG108" s="77">
        <v>44543</v>
      </c>
      <c r="AH108" s="74" t="s">
        <v>904</v>
      </c>
      <c r="AV108" s="75" t="str">
        <f>HYPERLINK("https://pbs.twimg.com/profile_images/787179474219511810/khs5nh5C_normal.jpg")</f>
        <v>https://pbs.twimg.com/profile_images/787179474219511810/khs5nh5C_normal.jpg</v>
      </c>
      <c r="AW108" s="74" t="s">
        <v>1125</v>
      </c>
      <c r="AX108" s="74" t="s">
        <v>1289</v>
      </c>
      <c r="AY108" s="74" t="s">
        <v>1363</v>
      </c>
      <c r="AZ108" s="74" t="s">
        <v>1289</v>
      </c>
      <c r="BA108" s="74" t="s">
        <v>1384</v>
      </c>
      <c r="BB108" s="74" t="s">
        <v>1384</v>
      </c>
      <c r="BC108" s="74" t="s">
        <v>1289</v>
      </c>
      <c r="BD108" s="74" t="s">
        <v>1445</v>
      </c>
      <c r="BJ108" s="44"/>
      <c r="BK108" s="45"/>
      <c r="BL108" s="44"/>
      <c r="BM108" s="45"/>
      <c r="BN108" s="44"/>
      <c r="BO108" s="45"/>
      <c r="BP108" s="44"/>
      <c r="BQ108" s="45"/>
      <c r="BR108" s="44"/>
      <c r="BS108">
        <v>1</v>
      </c>
      <c r="BT108" s="112" t="str">
        <f>REPLACE(INDEX(GroupVertices[Group],MATCH("~"&amp;Edges37[[#This Row],[Vertex 1]],GroupVertices[Vertex],0)),1,1,"")</f>
        <v>2</v>
      </c>
      <c r="BU108" s="112" t="str">
        <f>REPLACE(INDEX(GroupVertices[Group],MATCH("~"&amp;Edges37[[#This Row],[Vertex 2]],GroupVertices[Vertex],0)),1,1,"")</f>
        <v>2</v>
      </c>
    </row>
    <row r="109" spans="1:73" ht="15">
      <c r="A109" s="59" t="s">
        <v>284</v>
      </c>
      <c r="B109" s="59" t="s">
        <v>411</v>
      </c>
      <c r="C109" s="60"/>
      <c r="D109" s="61"/>
      <c r="E109" s="62"/>
      <c r="F109" s="63"/>
      <c r="G109" s="60"/>
      <c r="H109" s="64"/>
      <c r="I109" s="65"/>
      <c r="J109" s="65"/>
      <c r="K109" s="30" t="s">
        <v>65</v>
      </c>
      <c r="L109" s="72">
        <v>142</v>
      </c>
      <c r="M10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9" s="67"/>
      <c r="O109" t="s">
        <v>483</v>
      </c>
      <c r="P109" s="73">
        <v>44558.632418981484</v>
      </c>
      <c r="Q109" t="s">
        <v>591</v>
      </c>
      <c r="R109">
        <v>0</v>
      </c>
      <c r="S109">
        <v>0</v>
      </c>
      <c r="T109">
        <v>0</v>
      </c>
      <c r="U109">
        <v>0</v>
      </c>
      <c r="Z109" t="s">
        <v>748</v>
      </c>
      <c r="AC109" s="74" t="s">
        <v>787</v>
      </c>
      <c r="AD109" t="s">
        <v>794</v>
      </c>
      <c r="AE109" s="75" t="str">
        <f>HYPERLINK("https://twitter.com/hudsuharg/status/1475846674966671364")</f>
        <v>https://twitter.com/hudsuharg/status/1475846674966671364</v>
      </c>
      <c r="AF109" s="73">
        <v>44558.632418981484</v>
      </c>
      <c r="AG109" s="77">
        <v>44558</v>
      </c>
      <c r="AH109" s="74" t="s">
        <v>905</v>
      </c>
      <c r="AV109" s="75" t="str">
        <f>HYPERLINK("https://pbs.twimg.com/profile_images/787179474219511810/khs5nh5C_normal.jpg")</f>
        <v>https://pbs.twimg.com/profile_images/787179474219511810/khs5nh5C_normal.jpg</v>
      </c>
      <c r="AW109" s="74" t="s">
        <v>1126</v>
      </c>
      <c r="AX109" s="74" t="s">
        <v>1221</v>
      </c>
      <c r="AY109" s="74" t="s">
        <v>1328</v>
      </c>
      <c r="AZ109" s="74" t="s">
        <v>1221</v>
      </c>
      <c r="BA109" s="74" t="s">
        <v>1384</v>
      </c>
      <c r="BB109" s="74" t="s">
        <v>1384</v>
      </c>
      <c r="BC109" s="74" t="s">
        <v>1221</v>
      </c>
      <c r="BD109" s="74" t="s">
        <v>1445</v>
      </c>
      <c r="BJ109" s="44">
        <v>4</v>
      </c>
      <c r="BK109" s="45">
        <v>50</v>
      </c>
      <c r="BL109" s="44">
        <v>0</v>
      </c>
      <c r="BM109" s="45">
        <v>0</v>
      </c>
      <c r="BN109" s="44">
        <v>0</v>
      </c>
      <c r="BO109" s="45">
        <v>0</v>
      </c>
      <c r="BP109" s="44">
        <v>4</v>
      </c>
      <c r="BQ109" s="45">
        <v>50</v>
      </c>
      <c r="BR109" s="44">
        <v>8</v>
      </c>
      <c r="BS109">
        <v>1</v>
      </c>
      <c r="BT109" s="112" t="str">
        <f>REPLACE(INDEX(GroupVertices[Group],MATCH("~"&amp;Edges37[[#This Row],[Vertex 1]],GroupVertices[Vertex],0)),1,1,"")</f>
        <v>2</v>
      </c>
      <c r="BU109" s="112" t="str">
        <f>REPLACE(INDEX(GroupVertices[Group],MATCH("~"&amp;Edges37[[#This Row],[Vertex 2]],GroupVertices[Vertex],0)),1,1,"")</f>
        <v>2</v>
      </c>
    </row>
    <row r="110" spans="1:73" ht="15">
      <c r="A110" s="59" t="s">
        <v>284</v>
      </c>
      <c r="B110" s="59" t="s">
        <v>412</v>
      </c>
      <c r="C110" s="60"/>
      <c r="D110" s="61"/>
      <c r="E110" s="62"/>
      <c r="F110" s="63"/>
      <c r="G110" s="60"/>
      <c r="H110" s="64"/>
      <c r="I110" s="65"/>
      <c r="J110" s="65"/>
      <c r="K110" s="30" t="s">
        <v>65</v>
      </c>
      <c r="L110" s="72">
        <v>143</v>
      </c>
      <c r="M1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0" s="67"/>
      <c r="O110" t="s">
        <v>483</v>
      </c>
      <c r="P110" s="73">
        <v>44545.63469907407</v>
      </c>
      <c r="Q110" t="s">
        <v>592</v>
      </c>
      <c r="R110">
        <v>0</v>
      </c>
      <c r="S110">
        <v>0</v>
      </c>
      <c r="T110">
        <v>1</v>
      </c>
      <c r="U110">
        <v>0</v>
      </c>
      <c r="Z110" t="s">
        <v>749</v>
      </c>
      <c r="AC110" s="74" t="s">
        <v>787</v>
      </c>
      <c r="AD110" t="s">
        <v>794</v>
      </c>
      <c r="AE110" s="75" t="str">
        <f>HYPERLINK("https://twitter.com/hudsuharg/status/1471136459255996426")</f>
        <v>https://twitter.com/hudsuharg/status/1471136459255996426</v>
      </c>
      <c r="AF110" s="73">
        <v>44545.63469907407</v>
      </c>
      <c r="AG110" s="77">
        <v>44545</v>
      </c>
      <c r="AH110" s="74" t="s">
        <v>906</v>
      </c>
      <c r="AV110" s="75" t="str">
        <f>HYPERLINK("https://pbs.twimg.com/profile_images/787179474219511810/khs5nh5C_normal.jpg")</f>
        <v>https://pbs.twimg.com/profile_images/787179474219511810/khs5nh5C_normal.jpg</v>
      </c>
      <c r="AW110" s="74" t="s">
        <v>1127</v>
      </c>
      <c r="AX110" s="74" t="s">
        <v>1290</v>
      </c>
      <c r="AY110" s="74" t="s">
        <v>1364</v>
      </c>
      <c r="AZ110" s="74" t="s">
        <v>1290</v>
      </c>
      <c r="BA110" s="74" t="s">
        <v>1384</v>
      </c>
      <c r="BB110" s="74" t="s">
        <v>1384</v>
      </c>
      <c r="BC110" s="74" t="s">
        <v>1290</v>
      </c>
      <c r="BD110" s="74" t="s">
        <v>1445</v>
      </c>
      <c r="BJ110" s="44"/>
      <c r="BK110" s="45"/>
      <c r="BL110" s="44"/>
      <c r="BM110" s="45"/>
      <c r="BN110" s="44"/>
      <c r="BO110" s="45"/>
      <c r="BP110" s="44"/>
      <c r="BQ110" s="45"/>
      <c r="BR110" s="44"/>
      <c r="BS110">
        <v>1</v>
      </c>
      <c r="BT110" s="112" t="str">
        <f>REPLACE(INDEX(GroupVertices[Group],MATCH("~"&amp;Edges37[[#This Row],[Vertex 1]],GroupVertices[Vertex],0)),1,1,"")</f>
        <v>2</v>
      </c>
      <c r="BU110" s="112" t="str">
        <f>REPLACE(INDEX(GroupVertices[Group],MATCH("~"&amp;Edges37[[#This Row],[Vertex 2]],GroupVertices[Vertex],0)),1,1,"")</f>
        <v>2</v>
      </c>
    </row>
    <row r="111" spans="1:73" ht="15">
      <c r="A111" s="59" t="s">
        <v>284</v>
      </c>
      <c r="B111" s="59" t="s">
        <v>414</v>
      </c>
      <c r="C111" s="60"/>
      <c r="D111" s="61"/>
      <c r="E111" s="62"/>
      <c r="F111" s="63"/>
      <c r="G111" s="60"/>
      <c r="H111" s="64"/>
      <c r="I111" s="65"/>
      <c r="J111" s="65"/>
      <c r="K111" s="30" t="s">
        <v>65</v>
      </c>
      <c r="L111" s="72">
        <v>145</v>
      </c>
      <c r="M1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1" s="67"/>
      <c r="O111" t="s">
        <v>483</v>
      </c>
      <c r="P111" s="73">
        <v>44545.62318287037</v>
      </c>
      <c r="Q111" t="s">
        <v>593</v>
      </c>
      <c r="R111">
        <v>2</v>
      </c>
      <c r="S111">
        <v>1</v>
      </c>
      <c r="T111">
        <v>0</v>
      </c>
      <c r="U111">
        <v>0</v>
      </c>
      <c r="Z111" t="s">
        <v>750</v>
      </c>
      <c r="AC111" s="74" t="s">
        <v>787</v>
      </c>
      <c r="AD111" t="s">
        <v>794</v>
      </c>
      <c r="AE111" s="75" t="str">
        <f>HYPERLINK("https://twitter.com/hudsuharg/status/1471132284602368000")</f>
        <v>https://twitter.com/hudsuharg/status/1471132284602368000</v>
      </c>
      <c r="AF111" s="73">
        <v>44545.62318287037</v>
      </c>
      <c r="AG111" s="77">
        <v>44545</v>
      </c>
      <c r="AH111" s="74" t="s">
        <v>907</v>
      </c>
      <c r="AV111" s="75" t="str">
        <f>HYPERLINK("https://pbs.twimg.com/profile_images/787179474219511810/khs5nh5C_normal.jpg")</f>
        <v>https://pbs.twimg.com/profile_images/787179474219511810/khs5nh5C_normal.jpg</v>
      </c>
      <c r="AW111" s="74" t="s">
        <v>1128</v>
      </c>
      <c r="AX111" s="74" t="s">
        <v>1291</v>
      </c>
      <c r="AY111" s="74" t="s">
        <v>1365</v>
      </c>
      <c r="AZ111" s="74" t="s">
        <v>1291</v>
      </c>
      <c r="BA111" s="74" t="s">
        <v>1384</v>
      </c>
      <c r="BB111" s="74" t="s">
        <v>1384</v>
      </c>
      <c r="BC111" s="74" t="s">
        <v>1291</v>
      </c>
      <c r="BD111" s="74" t="s">
        <v>1445</v>
      </c>
      <c r="BJ111" s="44"/>
      <c r="BK111" s="45"/>
      <c r="BL111" s="44"/>
      <c r="BM111" s="45"/>
      <c r="BN111" s="44"/>
      <c r="BO111" s="45"/>
      <c r="BP111" s="44"/>
      <c r="BQ111" s="45"/>
      <c r="BR111" s="44"/>
      <c r="BS111">
        <v>1</v>
      </c>
      <c r="BT111" s="112" t="str">
        <f>REPLACE(INDEX(GroupVertices[Group],MATCH("~"&amp;Edges37[[#This Row],[Vertex 1]],GroupVertices[Vertex],0)),1,1,"")</f>
        <v>2</v>
      </c>
      <c r="BU111" s="112" t="str">
        <f>REPLACE(INDEX(GroupVertices[Group],MATCH("~"&amp;Edges37[[#This Row],[Vertex 2]],GroupVertices[Vertex],0)),1,1,"")</f>
        <v>2</v>
      </c>
    </row>
    <row r="112" spans="1:73" ht="15">
      <c r="A112" s="59" t="s">
        <v>284</v>
      </c>
      <c r="B112" s="59" t="s">
        <v>416</v>
      </c>
      <c r="C112" s="60"/>
      <c r="D112" s="61"/>
      <c r="E112" s="62"/>
      <c r="F112" s="63"/>
      <c r="G112" s="60"/>
      <c r="H112" s="64"/>
      <c r="I112" s="65"/>
      <c r="J112" s="65"/>
      <c r="K112" s="30" t="s">
        <v>65</v>
      </c>
      <c r="L112" s="72">
        <v>147</v>
      </c>
      <c r="M1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2" s="67"/>
      <c r="O112" t="s">
        <v>482</v>
      </c>
      <c r="P112" s="73">
        <v>44598.17289351852</v>
      </c>
      <c r="Q112" t="s">
        <v>594</v>
      </c>
      <c r="R112">
        <v>0</v>
      </c>
      <c r="S112">
        <v>0</v>
      </c>
      <c r="T112">
        <v>0</v>
      </c>
      <c r="U112">
        <v>0</v>
      </c>
      <c r="Z112" t="s">
        <v>416</v>
      </c>
      <c r="AC112" s="74" t="s">
        <v>787</v>
      </c>
      <c r="AD112" t="s">
        <v>794</v>
      </c>
      <c r="AE112" s="75" t="str">
        <f>HYPERLINK("https://twitter.com/hudsuharg/status/1490175660689883136")</f>
        <v>https://twitter.com/hudsuharg/status/1490175660689883136</v>
      </c>
      <c r="AF112" s="73">
        <v>44598.17289351852</v>
      </c>
      <c r="AG112" s="77">
        <v>44598</v>
      </c>
      <c r="AH112" s="74" t="s">
        <v>908</v>
      </c>
      <c r="AV112" s="75" t="str">
        <f>HYPERLINK("https://pbs.twimg.com/profile_images/787179474219511810/khs5nh5C_normal.jpg")</f>
        <v>https://pbs.twimg.com/profile_images/787179474219511810/khs5nh5C_normal.jpg</v>
      </c>
      <c r="AW112" s="74" t="s">
        <v>1129</v>
      </c>
      <c r="AX112" s="74" t="s">
        <v>1292</v>
      </c>
      <c r="AY112" s="74" t="s">
        <v>1366</v>
      </c>
      <c r="AZ112" s="74" t="s">
        <v>1292</v>
      </c>
      <c r="BA112" s="74" t="s">
        <v>1384</v>
      </c>
      <c r="BB112" s="74" t="s">
        <v>1384</v>
      </c>
      <c r="BC112" s="74" t="s">
        <v>1292</v>
      </c>
      <c r="BD112" s="74" t="s">
        <v>1445</v>
      </c>
      <c r="BJ112" s="44">
        <v>4</v>
      </c>
      <c r="BK112" s="45">
        <v>22.22222222222222</v>
      </c>
      <c r="BL112" s="44">
        <v>0</v>
      </c>
      <c r="BM112" s="45">
        <v>0</v>
      </c>
      <c r="BN112" s="44">
        <v>0</v>
      </c>
      <c r="BO112" s="45">
        <v>0</v>
      </c>
      <c r="BP112" s="44">
        <v>14</v>
      </c>
      <c r="BQ112" s="45">
        <v>77.77777777777777</v>
      </c>
      <c r="BR112" s="44">
        <v>18</v>
      </c>
      <c r="BS112">
        <v>1</v>
      </c>
      <c r="BT112" s="112" t="str">
        <f>REPLACE(INDEX(GroupVertices[Group],MATCH("~"&amp;Edges37[[#This Row],[Vertex 1]],GroupVertices[Vertex],0)),1,1,"")</f>
        <v>2</v>
      </c>
      <c r="BU112" s="112" t="str">
        <f>REPLACE(INDEX(GroupVertices[Group],MATCH("~"&amp;Edges37[[#This Row],[Vertex 2]],GroupVertices[Vertex],0)),1,1,"")</f>
        <v>2</v>
      </c>
    </row>
    <row r="113" spans="1:73" ht="15">
      <c r="A113" s="59" t="s">
        <v>284</v>
      </c>
      <c r="B113" s="59" t="s">
        <v>417</v>
      </c>
      <c r="C113" s="60"/>
      <c r="D113" s="61"/>
      <c r="E113" s="62"/>
      <c r="F113" s="63"/>
      <c r="G113" s="60"/>
      <c r="H113" s="64"/>
      <c r="I113" s="65"/>
      <c r="J113" s="65"/>
      <c r="K113" s="30" t="s">
        <v>65</v>
      </c>
      <c r="L113" s="72">
        <v>148</v>
      </c>
      <c r="M1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3" s="67"/>
      <c r="O113" t="s">
        <v>482</v>
      </c>
      <c r="P113" s="73">
        <v>44542.076516203706</v>
      </c>
      <c r="Q113" t="s">
        <v>595</v>
      </c>
      <c r="R113">
        <v>0</v>
      </c>
      <c r="S113">
        <v>1</v>
      </c>
      <c r="T113">
        <v>0</v>
      </c>
      <c r="U113">
        <v>0</v>
      </c>
      <c r="Z113" t="s">
        <v>751</v>
      </c>
      <c r="AC113" s="74" t="s">
        <v>787</v>
      </c>
      <c r="AD113" t="s">
        <v>794</v>
      </c>
      <c r="AE113" s="75" t="str">
        <f>HYPERLINK("https://twitter.com/hudsuharg/status/1469847013780967424")</f>
        <v>https://twitter.com/hudsuharg/status/1469847013780967424</v>
      </c>
      <c r="AF113" s="73">
        <v>44542.076516203706</v>
      </c>
      <c r="AG113" s="77">
        <v>44542</v>
      </c>
      <c r="AH113" s="74" t="s">
        <v>909</v>
      </c>
      <c r="AV113" s="75" t="str">
        <f>HYPERLINK("https://pbs.twimg.com/profile_images/787179474219511810/khs5nh5C_normal.jpg")</f>
        <v>https://pbs.twimg.com/profile_images/787179474219511810/khs5nh5C_normal.jpg</v>
      </c>
      <c r="AW113" s="74" t="s">
        <v>1130</v>
      </c>
      <c r="AX113" s="74" t="s">
        <v>1293</v>
      </c>
      <c r="AY113" s="74" t="s">
        <v>1367</v>
      </c>
      <c r="AZ113" s="74" t="s">
        <v>1293</v>
      </c>
      <c r="BA113" s="74" t="s">
        <v>1384</v>
      </c>
      <c r="BB113" s="74" t="s">
        <v>1384</v>
      </c>
      <c r="BC113" s="74" t="s">
        <v>1293</v>
      </c>
      <c r="BD113" s="74" t="s">
        <v>1445</v>
      </c>
      <c r="BJ113" s="44">
        <v>3</v>
      </c>
      <c r="BK113" s="45">
        <v>42.857142857142854</v>
      </c>
      <c r="BL113" s="44">
        <v>0</v>
      </c>
      <c r="BM113" s="45">
        <v>0</v>
      </c>
      <c r="BN113" s="44">
        <v>0</v>
      </c>
      <c r="BO113" s="45">
        <v>0</v>
      </c>
      <c r="BP113" s="44">
        <v>4</v>
      </c>
      <c r="BQ113" s="45">
        <v>57.142857142857146</v>
      </c>
      <c r="BR113" s="44">
        <v>7</v>
      </c>
      <c r="BS113">
        <v>1</v>
      </c>
      <c r="BT113" s="112" t="str">
        <f>REPLACE(INDEX(GroupVertices[Group],MATCH("~"&amp;Edges37[[#This Row],[Vertex 1]],GroupVertices[Vertex],0)),1,1,"")</f>
        <v>2</v>
      </c>
      <c r="BU113" s="112" t="str">
        <f>REPLACE(INDEX(GroupVertices[Group],MATCH("~"&amp;Edges37[[#This Row],[Vertex 2]],GroupVertices[Vertex],0)),1,1,"")</f>
        <v>2</v>
      </c>
    </row>
    <row r="114" spans="1:73" ht="15">
      <c r="A114" s="59" t="s">
        <v>284</v>
      </c>
      <c r="B114" s="59" t="s">
        <v>418</v>
      </c>
      <c r="C114" s="60"/>
      <c r="D114" s="61"/>
      <c r="E114" s="62"/>
      <c r="F114" s="63"/>
      <c r="G114" s="60"/>
      <c r="H114" s="64"/>
      <c r="I114" s="65"/>
      <c r="J114" s="65"/>
      <c r="K114" s="30" t="s">
        <v>65</v>
      </c>
      <c r="L114" s="72">
        <v>149</v>
      </c>
      <c r="M1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4" s="67"/>
      <c r="O114" t="s">
        <v>483</v>
      </c>
      <c r="P114" s="73">
        <v>44591.19552083333</v>
      </c>
      <c r="Q114" t="s">
        <v>596</v>
      </c>
      <c r="R114">
        <v>0</v>
      </c>
      <c r="S114">
        <v>0</v>
      </c>
      <c r="T114">
        <v>0</v>
      </c>
      <c r="U114">
        <v>0</v>
      </c>
      <c r="W114" s="74" t="s">
        <v>682</v>
      </c>
      <c r="Z114" t="s">
        <v>752</v>
      </c>
      <c r="AC114" s="74" t="s">
        <v>787</v>
      </c>
      <c r="AD114" t="s">
        <v>794</v>
      </c>
      <c r="AE114" s="75" t="str">
        <f>HYPERLINK("https://twitter.com/hudsuharg/status/1487647147185303554")</f>
        <v>https://twitter.com/hudsuharg/status/1487647147185303554</v>
      </c>
      <c r="AF114" s="73">
        <v>44591.19552083333</v>
      </c>
      <c r="AG114" s="77">
        <v>44591</v>
      </c>
      <c r="AH114" s="74" t="s">
        <v>910</v>
      </c>
      <c r="AV114" s="75" t="str">
        <f>HYPERLINK("https://pbs.twimg.com/profile_images/787179474219511810/khs5nh5C_normal.jpg")</f>
        <v>https://pbs.twimg.com/profile_images/787179474219511810/khs5nh5C_normal.jpg</v>
      </c>
      <c r="AW114" s="74" t="s">
        <v>1131</v>
      </c>
      <c r="AX114" s="74" t="s">
        <v>1294</v>
      </c>
      <c r="AY114" s="74" t="s">
        <v>1368</v>
      </c>
      <c r="AZ114" s="74" t="s">
        <v>1294</v>
      </c>
      <c r="BA114" s="74" t="s">
        <v>1384</v>
      </c>
      <c r="BB114" s="74" t="s">
        <v>1384</v>
      </c>
      <c r="BC114" s="74" t="s">
        <v>1294</v>
      </c>
      <c r="BD114" s="74" t="s">
        <v>1445</v>
      </c>
      <c r="BJ114" s="44"/>
      <c r="BK114" s="45"/>
      <c r="BL114" s="44"/>
      <c r="BM114" s="45"/>
      <c r="BN114" s="44"/>
      <c r="BO114" s="45"/>
      <c r="BP114" s="44"/>
      <c r="BQ114" s="45"/>
      <c r="BR114" s="44"/>
      <c r="BS114">
        <v>1</v>
      </c>
      <c r="BT114" s="112" t="str">
        <f>REPLACE(INDEX(GroupVertices[Group],MATCH("~"&amp;Edges37[[#This Row],[Vertex 1]],GroupVertices[Vertex],0)),1,1,"")</f>
        <v>2</v>
      </c>
      <c r="BU114" s="112" t="str">
        <f>REPLACE(INDEX(GroupVertices[Group],MATCH("~"&amp;Edges37[[#This Row],[Vertex 2]],GroupVertices[Vertex],0)),1,1,"")</f>
        <v>2</v>
      </c>
    </row>
    <row r="115" spans="1:73" ht="15">
      <c r="A115" s="59" t="s">
        <v>223</v>
      </c>
      <c r="B115" s="59" t="s">
        <v>223</v>
      </c>
      <c r="C115" s="60"/>
      <c r="D115" s="61"/>
      <c r="E115" s="62"/>
      <c r="F115" s="63"/>
      <c r="G115" s="60"/>
      <c r="H115" s="64"/>
      <c r="I115" s="65"/>
      <c r="J115" s="65"/>
      <c r="K115" s="30" t="s">
        <v>65</v>
      </c>
      <c r="L115" s="72">
        <v>155</v>
      </c>
      <c r="M1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5" s="67"/>
      <c r="O115" t="s">
        <v>177</v>
      </c>
      <c r="P115" s="73">
        <v>44556.13921296296</v>
      </c>
      <c r="Q115" t="s">
        <v>597</v>
      </c>
      <c r="R115">
        <v>436</v>
      </c>
      <c r="S115">
        <v>1661</v>
      </c>
      <c r="T115">
        <v>88</v>
      </c>
      <c r="U115">
        <v>18</v>
      </c>
      <c r="X115" s="75" t="str">
        <f>HYPERLINK("https://news.detik.com/berita/d-5860072/survei-arci-804-masyarakat-jatim-ingin-presidential-threshold-0")</f>
        <v>https://news.detik.com/berita/d-5860072/survei-arci-804-masyarakat-jatim-ingin-presidential-threshold-0</v>
      </c>
      <c r="Y115" t="s">
        <v>712</v>
      </c>
      <c r="AC115" s="74" t="s">
        <v>787</v>
      </c>
      <c r="AD115" t="s">
        <v>794</v>
      </c>
      <c r="AE115" s="75" t="str">
        <f>HYPERLINK("https://twitter.com/sahabat_bangsa/status/1474943167170371584")</f>
        <v>https://twitter.com/sahabat_bangsa/status/1474943167170371584</v>
      </c>
      <c r="AF115" s="73">
        <v>44556.13921296296</v>
      </c>
      <c r="AG115" s="77">
        <v>44556</v>
      </c>
      <c r="AH115" s="74" t="s">
        <v>911</v>
      </c>
      <c r="AI115" t="b">
        <v>0</v>
      </c>
      <c r="AV115" s="75" t="str">
        <f>HYPERLINK("https://pbs.twimg.com/profile_images/1576435843790610433/sDXgLsKO_normal.jpg")</f>
        <v>https://pbs.twimg.com/profile_images/1576435843790610433/sDXgLsKO_normal.jpg</v>
      </c>
      <c r="AW115" s="74" t="s">
        <v>1132</v>
      </c>
      <c r="AX115" s="74" t="s">
        <v>1132</v>
      </c>
      <c r="AZ115" s="74" t="s">
        <v>1384</v>
      </c>
      <c r="BA115" s="74" t="s">
        <v>1384</v>
      </c>
      <c r="BB115" s="74" t="s">
        <v>1384</v>
      </c>
      <c r="BC115" s="74" t="s">
        <v>1132</v>
      </c>
      <c r="BD115">
        <v>1168746690</v>
      </c>
      <c r="BJ115" s="44">
        <v>1</v>
      </c>
      <c r="BK115" s="45">
        <v>12.5</v>
      </c>
      <c r="BL115" s="44">
        <v>0</v>
      </c>
      <c r="BM115" s="45">
        <v>0</v>
      </c>
      <c r="BN115" s="44">
        <v>0</v>
      </c>
      <c r="BO115" s="45">
        <v>0</v>
      </c>
      <c r="BP115" s="44">
        <v>7</v>
      </c>
      <c r="BQ115" s="45">
        <v>87.5</v>
      </c>
      <c r="BR115" s="44">
        <v>8</v>
      </c>
      <c r="BS115">
        <v>1</v>
      </c>
      <c r="BT115" s="112" t="str">
        <f>REPLACE(INDEX(GroupVertices[Group],MATCH("~"&amp;Edges37[[#This Row],[Vertex 1]],GroupVertices[Vertex],0)),1,1,"")</f>
        <v>6</v>
      </c>
      <c r="BU115" s="112" t="str">
        <f>REPLACE(INDEX(GroupVertices[Group],MATCH("~"&amp;Edges37[[#This Row],[Vertex 2]],GroupVertices[Vertex],0)),1,1,"")</f>
        <v>6</v>
      </c>
    </row>
    <row r="116" spans="1:73" ht="15">
      <c r="A116" s="59" t="s">
        <v>284</v>
      </c>
      <c r="B116" s="59" t="s">
        <v>223</v>
      </c>
      <c r="C116" s="60"/>
      <c r="D116" s="61"/>
      <c r="E116" s="62"/>
      <c r="F116" s="63"/>
      <c r="G116" s="60"/>
      <c r="H116" s="64"/>
      <c r="I116" s="65"/>
      <c r="J116" s="65"/>
      <c r="K116" s="30" t="s">
        <v>65</v>
      </c>
      <c r="L116" s="72">
        <v>157</v>
      </c>
      <c r="M1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6" s="67"/>
      <c r="O116" t="s">
        <v>482</v>
      </c>
      <c r="P116" s="73">
        <v>44564.37658564815</v>
      </c>
      <c r="Q116" t="s">
        <v>598</v>
      </c>
      <c r="R116">
        <v>0</v>
      </c>
      <c r="S116">
        <v>1</v>
      </c>
      <c r="T116">
        <v>0</v>
      </c>
      <c r="U116">
        <v>0</v>
      </c>
      <c r="Z116" t="s">
        <v>223</v>
      </c>
      <c r="AC116" s="74" t="s">
        <v>787</v>
      </c>
      <c r="AD116" t="s">
        <v>794</v>
      </c>
      <c r="AE116" s="75" t="str">
        <f>HYPERLINK("https://twitter.com/hudsuharg/status/1477928289683398656")</f>
        <v>https://twitter.com/hudsuharg/status/1477928289683398656</v>
      </c>
      <c r="AF116" s="73">
        <v>44564.37658564815</v>
      </c>
      <c r="AG116" s="77">
        <v>44564</v>
      </c>
      <c r="AH116" s="74" t="s">
        <v>912</v>
      </c>
      <c r="AV116" s="75" t="str">
        <f>HYPERLINK("https://pbs.twimg.com/profile_images/787179474219511810/khs5nh5C_normal.jpg")</f>
        <v>https://pbs.twimg.com/profile_images/787179474219511810/khs5nh5C_normal.jpg</v>
      </c>
      <c r="AW116" s="74" t="s">
        <v>1133</v>
      </c>
      <c r="AX116" s="74" t="s">
        <v>1295</v>
      </c>
      <c r="AY116" s="74" t="s">
        <v>1369</v>
      </c>
      <c r="AZ116" s="74" t="s">
        <v>1295</v>
      </c>
      <c r="BA116" s="74" t="s">
        <v>1384</v>
      </c>
      <c r="BB116" s="74" t="s">
        <v>1384</v>
      </c>
      <c r="BC116" s="74" t="s">
        <v>1295</v>
      </c>
      <c r="BD116" s="74" t="s">
        <v>1445</v>
      </c>
      <c r="BJ116" s="44">
        <v>3</v>
      </c>
      <c r="BK116" s="45">
        <v>75</v>
      </c>
      <c r="BL116" s="44">
        <v>0</v>
      </c>
      <c r="BM116" s="45">
        <v>0</v>
      </c>
      <c r="BN116" s="44">
        <v>0</v>
      </c>
      <c r="BO116" s="45">
        <v>0</v>
      </c>
      <c r="BP116" s="44">
        <v>1</v>
      </c>
      <c r="BQ116" s="45">
        <v>25</v>
      </c>
      <c r="BR116" s="44">
        <v>4</v>
      </c>
      <c r="BS116">
        <v>1</v>
      </c>
      <c r="BT116" s="112" t="str">
        <f>REPLACE(INDEX(GroupVertices[Group],MATCH("~"&amp;Edges37[[#This Row],[Vertex 1]],GroupVertices[Vertex],0)),1,1,"")</f>
        <v>2</v>
      </c>
      <c r="BU116" s="112" t="str">
        <f>REPLACE(INDEX(GroupVertices[Group],MATCH("~"&amp;Edges37[[#This Row],[Vertex 2]],GroupVertices[Vertex],0)),1,1,"")</f>
        <v>6</v>
      </c>
    </row>
    <row r="117" spans="1:73" ht="15">
      <c r="A117" s="59" t="s">
        <v>284</v>
      </c>
      <c r="B117" s="59" t="s">
        <v>423</v>
      </c>
      <c r="C117" s="60"/>
      <c r="D117" s="61"/>
      <c r="E117" s="62"/>
      <c r="F117" s="63"/>
      <c r="G117" s="60"/>
      <c r="H117" s="64"/>
      <c r="I117" s="65"/>
      <c r="J117" s="65"/>
      <c r="K117" s="30" t="s">
        <v>65</v>
      </c>
      <c r="L117" s="72">
        <v>159</v>
      </c>
      <c r="M1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7" s="67"/>
      <c r="O117" t="s">
        <v>482</v>
      </c>
      <c r="P117" s="73">
        <v>44612.6009837963</v>
      </c>
      <c r="Q117" t="s">
        <v>599</v>
      </c>
      <c r="R117">
        <v>0</v>
      </c>
      <c r="S117">
        <v>0</v>
      </c>
      <c r="T117">
        <v>0</v>
      </c>
      <c r="U117">
        <v>0</v>
      </c>
      <c r="Z117" t="s">
        <v>753</v>
      </c>
      <c r="AC117" s="74" t="s">
        <v>787</v>
      </c>
      <c r="AD117" t="s">
        <v>794</v>
      </c>
      <c r="AE117" s="75" t="str">
        <f>HYPERLINK("https://twitter.com/hudsuharg/status/1495404226582773763")</f>
        <v>https://twitter.com/hudsuharg/status/1495404226582773763</v>
      </c>
      <c r="AF117" s="73">
        <v>44612.6009837963</v>
      </c>
      <c r="AG117" s="77">
        <v>44612</v>
      </c>
      <c r="AH117" s="74" t="s">
        <v>913</v>
      </c>
      <c r="AV117" s="75" t="str">
        <f>HYPERLINK("https://pbs.twimg.com/profile_images/787179474219511810/khs5nh5C_normal.jpg")</f>
        <v>https://pbs.twimg.com/profile_images/787179474219511810/khs5nh5C_normal.jpg</v>
      </c>
      <c r="AW117" s="74" t="s">
        <v>1134</v>
      </c>
      <c r="AX117" s="74" t="s">
        <v>1296</v>
      </c>
      <c r="AY117" s="74" t="s">
        <v>1370</v>
      </c>
      <c r="AZ117" s="74" t="s">
        <v>1296</v>
      </c>
      <c r="BA117" s="74" t="s">
        <v>1384</v>
      </c>
      <c r="BB117" s="74" t="s">
        <v>1384</v>
      </c>
      <c r="BC117" s="74" t="s">
        <v>1296</v>
      </c>
      <c r="BD117" s="74" t="s">
        <v>1445</v>
      </c>
      <c r="BJ117" s="44">
        <v>4</v>
      </c>
      <c r="BK117" s="45">
        <v>57.142857142857146</v>
      </c>
      <c r="BL117" s="44">
        <v>0</v>
      </c>
      <c r="BM117" s="45">
        <v>0</v>
      </c>
      <c r="BN117" s="44">
        <v>0</v>
      </c>
      <c r="BO117" s="45">
        <v>0</v>
      </c>
      <c r="BP117" s="44">
        <v>3</v>
      </c>
      <c r="BQ117" s="45">
        <v>42.857142857142854</v>
      </c>
      <c r="BR117" s="44">
        <v>7</v>
      </c>
      <c r="BS117">
        <v>1</v>
      </c>
      <c r="BT117" s="112" t="str">
        <f>REPLACE(INDEX(GroupVertices[Group],MATCH("~"&amp;Edges37[[#This Row],[Vertex 1]],GroupVertices[Vertex],0)),1,1,"")</f>
        <v>2</v>
      </c>
      <c r="BU117" s="112" t="str">
        <f>REPLACE(INDEX(GroupVertices[Group],MATCH("~"&amp;Edges37[[#This Row],[Vertex 2]],GroupVertices[Vertex],0)),1,1,"")</f>
        <v>2</v>
      </c>
    </row>
    <row r="118" spans="1:73" ht="15">
      <c r="A118" s="59" t="s">
        <v>284</v>
      </c>
      <c r="B118" s="59" t="s">
        <v>387</v>
      </c>
      <c r="C118" s="60"/>
      <c r="D118" s="61"/>
      <c r="E118" s="62"/>
      <c r="F118" s="63"/>
      <c r="G118" s="60"/>
      <c r="H118" s="64"/>
      <c r="I118" s="65"/>
      <c r="J118" s="65"/>
      <c r="K118" s="30" t="s">
        <v>65</v>
      </c>
      <c r="L118" s="72">
        <v>161</v>
      </c>
      <c r="M1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8" s="67"/>
      <c r="O118" t="s">
        <v>483</v>
      </c>
      <c r="P118" s="73">
        <v>44570.02612268519</v>
      </c>
      <c r="Q118" t="s">
        <v>600</v>
      </c>
      <c r="R118">
        <v>0</v>
      </c>
      <c r="S118">
        <v>0</v>
      </c>
      <c r="T118">
        <v>0</v>
      </c>
      <c r="U118">
        <v>0</v>
      </c>
      <c r="Z118" t="s">
        <v>754</v>
      </c>
      <c r="AC118" s="74" t="s">
        <v>787</v>
      </c>
      <c r="AD118" t="s">
        <v>794</v>
      </c>
      <c r="AE118" s="75" t="str">
        <f>HYPERLINK("https://twitter.com/hudsuharg/status/1479975612764753922")</f>
        <v>https://twitter.com/hudsuharg/status/1479975612764753922</v>
      </c>
      <c r="AF118" s="73">
        <v>44570.02612268519</v>
      </c>
      <c r="AG118" s="77">
        <v>44570</v>
      </c>
      <c r="AH118" s="74" t="s">
        <v>914</v>
      </c>
      <c r="AV118" s="75" t="str">
        <f>HYPERLINK("https://pbs.twimg.com/profile_images/787179474219511810/khs5nh5C_normal.jpg")</f>
        <v>https://pbs.twimg.com/profile_images/787179474219511810/khs5nh5C_normal.jpg</v>
      </c>
      <c r="AW118" s="74" t="s">
        <v>1135</v>
      </c>
      <c r="AX118" s="74" t="s">
        <v>1297</v>
      </c>
      <c r="AY118" s="74" t="s">
        <v>1371</v>
      </c>
      <c r="AZ118" s="74" t="s">
        <v>1297</v>
      </c>
      <c r="BA118" s="74" t="s">
        <v>1384</v>
      </c>
      <c r="BB118" s="74" t="s">
        <v>1384</v>
      </c>
      <c r="BC118" s="74" t="s">
        <v>1297</v>
      </c>
      <c r="BD118" s="74" t="s">
        <v>1445</v>
      </c>
      <c r="BJ118" s="44"/>
      <c r="BK118" s="45"/>
      <c r="BL118" s="44"/>
      <c r="BM118" s="45"/>
      <c r="BN118" s="44"/>
      <c r="BO118" s="45"/>
      <c r="BP118" s="44"/>
      <c r="BQ118" s="45"/>
      <c r="BR118" s="44"/>
      <c r="BS118">
        <v>1</v>
      </c>
      <c r="BT118" s="112" t="str">
        <f>REPLACE(INDEX(GroupVertices[Group],MATCH("~"&amp;Edges37[[#This Row],[Vertex 1]],GroupVertices[Vertex],0)),1,1,"")</f>
        <v>2</v>
      </c>
      <c r="BU118" s="112" t="str">
        <f>REPLACE(INDEX(GroupVertices[Group],MATCH("~"&amp;Edges37[[#This Row],[Vertex 2]],GroupVertices[Vertex],0)),1,1,"")</f>
        <v>10</v>
      </c>
    </row>
    <row r="119" spans="1:73" ht="15">
      <c r="A119" s="59" t="s">
        <v>284</v>
      </c>
      <c r="B119" s="59" t="s">
        <v>424</v>
      </c>
      <c r="C119" s="60"/>
      <c r="D119" s="61"/>
      <c r="E119" s="62"/>
      <c r="F119" s="63"/>
      <c r="G119" s="60"/>
      <c r="H119" s="64"/>
      <c r="I119" s="65"/>
      <c r="J119" s="65"/>
      <c r="K119" s="30" t="s">
        <v>65</v>
      </c>
      <c r="L119" s="72">
        <v>162</v>
      </c>
      <c r="M1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9" s="67"/>
      <c r="O119" t="s">
        <v>483</v>
      </c>
      <c r="P119" s="73">
        <v>44545.644166666665</v>
      </c>
      <c r="Q119" t="s">
        <v>601</v>
      </c>
      <c r="R119">
        <v>0</v>
      </c>
      <c r="S119">
        <v>0</v>
      </c>
      <c r="T119">
        <v>0</v>
      </c>
      <c r="U119">
        <v>0</v>
      </c>
      <c r="Z119" t="s">
        <v>755</v>
      </c>
      <c r="AC119" s="74" t="s">
        <v>787</v>
      </c>
      <c r="AD119" t="s">
        <v>794</v>
      </c>
      <c r="AE119" s="75" t="str">
        <f>HYPERLINK("https://twitter.com/hudsuharg/status/1471139886400892933")</f>
        <v>https://twitter.com/hudsuharg/status/1471139886400892933</v>
      </c>
      <c r="AF119" s="73">
        <v>44545.644166666665</v>
      </c>
      <c r="AG119" s="77">
        <v>44545</v>
      </c>
      <c r="AH119" s="74" t="s">
        <v>915</v>
      </c>
      <c r="AV119" s="75" t="str">
        <f>HYPERLINK("https://pbs.twimg.com/profile_images/787179474219511810/khs5nh5C_normal.jpg")</f>
        <v>https://pbs.twimg.com/profile_images/787179474219511810/khs5nh5C_normal.jpg</v>
      </c>
      <c r="AW119" s="74" t="s">
        <v>1136</v>
      </c>
      <c r="AX119" s="74" t="s">
        <v>1298</v>
      </c>
      <c r="AY119" s="74" t="s">
        <v>1372</v>
      </c>
      <c r="AZ119" s="74" t="s">
        <v>1298</v>
      </c>
      <c r="BA119" s="74" t="s">
        <v>1384</v>
      </c>
      <c r="BB119" s="74" t="s">
        <v>1384</v>
      </c>
      <c r="BC119" s="74" t="s">
        <v>1298</v>
      </c>
      <c r="BD119" s="74" t="s">
        <v>1445</v>
      </c>
      <c r="BJ119" s="44">
        <v>5</v>
      </c>
      <c r="BK119" s="45">
        <v>21.73913043478261</v>
      </c>
      <c r="BL119" s="44">
        <v>0</v>
      </c>
      <c r="BM119" s="45">
        <v>0</v>
      </c>
      <c r="BN119" s="44">
        <v>0</v>
      </c>
      <c r="BO119" s="45">
        <v>0</v>
      </c>
      <c r="BP119" s="44">
        <v>18</v>
      </c>
      <c r="BQ119" s="45">
        <v>78.26086956521739</v>
      </c>
      <c r="BR119" s="44">
        <v>23</v>
      </c>
      <c r="BS119">
        <v>8</v>
      </c>
      <c r="BT119" s="112" t="str">
        <f>REPLACE(INDEX(GroupVertices[Group],MATCH("~"&amp;Edges37[[#This Row],[Vertex 1]],GroupVertices[Vertex],0)),1,1,"")</f>
        <v>2</v>
      </c>
      <c r="BU119" s="112" t="str">
        <f>REPLACE(INDEX(GroupVertices[Group],MATCH("~"&amp;Edges37[[#This Row],[Vertex 2]],GroupVertices[Vertex],0)),1,1,"")</f>
        <v>2</v>
      </c>
    </row>
    <row r="120" spans="1:73" ht="15">
      <c r="A120" s="59" t="s">
        <v>285</v>
      </c>
      <c r="B120" s="59" t="s">
        <v>285</v>
      </c>
      <c r="C120" s="60"/>
      <c r="D120" s="61"/>
      <c r="E120" s="62"/>
      <c r="F120" s="63"/>
      <c r="G120" s="60"/>
      <c r="H120" s="64"/>
      <c r="I120" s="65"/>
      <c r="J120" s="65"/>
      <c r="K120" s="30" t="s">
        <v>65</v>
      </c>
      <c r="L120" s="72">
        <v>167</v>
      </c>
      <c r="M1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0" s="67"/>
      <c r="O120" t="s">
        <v>177</v>
      </c>
      <c r="P120" s="73">
        <v>44571.53487268519</v>
      </c>
      <c r="Q120" t="s">
        <v>602</v>
      </c>
      <c r="R120">
        <v>0</v>
      </c>
      <c r="S120">
        <v>0</v>
      </c>
      <c r="T120">
        <v>0</v>
      </c>
      <c r="U120">
        <v>0</v>
      </c>
      <c r="W120" s="74" t="s">
        <v>684</v>
      </c>
      <c r="AA120" t="s">
        <v>772</v>
      </c>
      <c r="AB120" t="s">
        <v>783</v>
      </c>
      <c r="AC120" s="74" t="s">
        <v>787</v>
      </c>
      <c r="AD120" t="s">
        <v>798</v>
      </c>
      <c r="AE120" s="75" t="str">
        <f>HYPERLINK("https://twitter.com/akmal16982665/status/1480522365876379650")</f>
        <v>https://twitter.com/akmal16982665/status/1480522365876379650</v>
      </c>
      <c r="AF120" s="73">
        <v>44571.53487268519</v>
      </c>
      <c r="AG120" s="77">
        <v>44571</v>
      </c>
      <c r="AH120" s="74" t="s">
        <v>916</v>
      </c>
      <c r="AI120" t="b">
        <v>0</v>
      </c>
      <c r="AQ120" t="s">
        <v>1010</v>
      </c>
      <c r="AV120" s="75" t="str">
        <f>HYPERLINK("https://pbs.twimg.com/media/FIvfPd5UYAA6OCS.jpg")</f>
        <v>https://pbs.twimg.com/media/FIvfPd5UYAA6OCS.jpg</v>
      </c>
      <c r="AW120" s="74" t="s">
        <v>1137</v>
      </c>
      <c r="AX120" s="74" t="s">
        <v>1137</v>
      </c>
      <c r="AZ120" s="74" t="s">
        <v>1384</v>
      </c>
      <c r="BA120" s="74" t="s">
        <v>1384</v>
      </c>
      <c r="BB120" s="74" t="s">
        <v>1384</v>
      </c>
      <c r="BC120" s="74" t="s">
        <v>1137</v>
      </c>
      <c r="BD120" s="74" t="s">
        <v>1446</v>
      </c>
      <c r="BJ120" s="44">
        <v>0</v>
      </c>
      <c r="BK120" s="45">
        <v>0</v>
      </c>
      <c r="BL120" s="44">
        <v>0</v>
      </c>
      <c r="BM120" s="45">
        <v>0</v>
      </c>
      <c r="BN120" s="44">
        <v>0</v>
      </c>
      <c r="BO120" s="45">
        <v>0</v>
      </c>
      <c r="BP120" s="44">
        <v>2</v>
      </c>
      <c r="BQ120" s="45">
        <v>100</v>
      </c>
      <c r="BR120" s="44">
        <v>2</v>
      </c>
      <c r="BS120">
        <v>1</v>
      </c>
      <c r="BT120" s="112" t="str">
        <f>REPLACE(INDEX(GroupVertices[Group],MATCH("~"&amp;Edges37[[#This Row],[Vertex 1]],GroupVertices[Vertex],0)),1,1,"")</f>
        <v>3</v>
      </c>
      <c r="BU120" s="112" t="str">
        <f>REPLACE(INDEX(GroupVertices[Group],MATCH("~"&amp;Edges37[[#This Row],[Vertex 2]],GroupVertices[Vertex],0)),1,1,"")</f>
        <v>3</v>
      </c>
    </row>
    <row r="121" spans="1:73" ht="15">
      <c r="A121" s="59" t="s">
        <v>286</v>
      </c>
      <c r="B121" s="59" t="s">
        <v>286</v>
      </c>
      <c r="C121" s="60"/>
      <c r="D121" s="61"/>
      <c r="E121" s="62"/>
      <c r="F121" s="63"/>
      <c r="G121" s="60"/>
      <c r="H121" s="64"/>
      <c r="I121" s="65"/>
      <c r="J121" s="65"/>
      <c r="K121" s="30" t="s">
        <v>65</v>
      </c>
      <c r="L121" s="72">
        <v>168</v>
      </c>
      <c r="M1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1" s="67"/>
      <c r="O121" t="s">
        <v>177</v>
      </c>
      <c r="P121" s="73">
        <v>44537.50508101852</v>
      </c>
      <c r="Q121" t="s">
        <v>603</v>
      </c>
      <c r="R121">
        <v>3</v>
      </c>
      <c r="S121">
        <v>4</v>
      </c>
      <c r="T121">
        <v>0</v>
      </c>
      <c r="U121">
        <v>0</v>
      </c>
      <c r="W121" s="74" t="s">
        <v>695</v>
      </c>
      <c r="X121"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21" t="s">
        <v>709</v>
      </c>
      <c r="AC121" s="74" t="s">
        <v>791</v>
      </c>
      <c r="AD121" t="s">
        <v>794</v>
      </c>
      <c r="AE121" s="75" t="str">
        <f>HYPERLINK("https://twitter.com/sindonews/status/1468190384509440001")</f>
        <v>https://twitter.com/sindonews/status/1468190384509440001</v>
      </c>
      <c r="AF121" s="73">
        <v>44537.50508101852</v>
      </c>
      <c r="AG121" s="77">
        <v>44537</v>
      </c>
      <c r="AH121" s="74" t="s">
        <v>917</v>
      </c>
      <c r="AI121" t="b">
        <v>0</v>
      </c>
      <c r="AV121" s="75" t="str">
        <f>HYPERLINK("https://pbs.twimg.com/profile_images/1657283286463582209/-8HSjERq_normal.jpg")</f>
        <v>https://pbs.twimg.com/profile_images/1657283286463582209/-8HSjERq_normal.jpg</v>
      </c>
      <c r="AW121" s="74" t="s">
        <v>1138</v>
      </c>
      <c r="AX121" s="74" t="s">
        <v>1138</v>
      </c>
      <c r="AZ121" s="74" t="s">
        <v>1384</v>
      </c>
      <c r="BA121" s="74" t="s">
        <v>1384</v>
      </c>
      <c r="BB121" s="74" t="s">
        <v>1384</v>
      </c>
      <c r="BC121" s="74" t="s">
        <v>1138</v>
      </c>
      <c r="BD121">
        <v>231355136</v>
      </c>
      <c r="BJ121" s="44">
        <v>3</v>
      </c>
      <c r="BK121" s="45">
        <v>15</v>
      </c>
      <c r="BL121" s="44">
        <v>1</v>
      </c>
      <c r="BM121" s="45">
        <v>5</v>
      </c>
      <c r="BN121" s="44">
        <v>0</v>
      </c>
      <c r="BO121" s="45">
        <v>0</v>
      </c>
      <c r="BP121" s="44">
        <v>16</v>
      </c>
      <c r="BQ121" s="45">
        <v>80</v>
      </c>
      <c r="BR121" s="44">
        <v>20</v>
      </c>
      <c r="BS121">
        <v>1</v>
      </c>
      <c r="BT121" s="112" t="str">
        <f>REPLACE(INDEX(GroupVertices[Group],MATCH("~"&amp;Edges37[[#This Row],[Vertex 1]],GroupVertices[Vertex],0)),1,1,"")</f>
        <v>3</v>
      </c>
      <c r="BU121" s="112" t="str">
        <f>REPLACE(INDEX(GroupVertices[Group],MATCH("~"&amp;Edges37[[#This Row],[Vertex 2]],GroupVertices[Vertex],0)),1,1,"")</f>
        <v>3</v>
      </c>
    </row>
    <row r="122" spans="1:73" ht="15">
      <c r="A122" s="59" t="s">
        <v>287</v>
      </c>
      <c r="B122" s="59" t="s">
        <v>287</v>
      </c>
      <c r="C122" s="60"/>
      <c r="D122" s="61"/>
      <c r="E122" s="62"/>
      <c r="F122" s="63"/>
      <c r="G122" s="60"/>
      <c r="H122" s="64"/>
      <c r="I122" s="65"/>
      <c r="J122" s="65"/>
      <c r="K122" s="30" t="s">
        <v>65</v>
      </c>
      <c r="L122" s="72">
        <v>169</v>
      </c>
      <c r="M1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2" s="67"/>
      <c r="O122" t="s">
        <v>177</v>
      </c>
      <c r="P122" s="73">
        <v>44882.355104166665</v>
      </c>
      <c r="Q122" t="s">
        <v>604</v>
      </c>
      <c r="R122">
        <v>6</v>
      </c>
      <c r="S122">
        <v>24</v>
      </c>
      <c r="T122">
        <v>5</v>
      </c>
      <c r="U122">
        <v>0</v>
      </c>
      <c r="AA122" t="s">
        <v>773</v>
      </c>
      <c r="AB122" t="s">
        <v>783</v>
      </c>
      <c r="AC122" s="74" t="s">
        <v>787</v>
      </c>
      <c r="AD122" t="s">
        <v>794</v>
      </c>
      <c r="AE122" s="75" t="str">
        <f>HYPERLINK("https://twitter.com/nyaiibubu/status/1593159845322297344")</f>
        <v>https://twitter.com/nyaiibubu/status/1593159845322297344</v>
      </c>
      <c r="AF122" s="73">
        <v>44882.355104166665</v>
      </c>
      <c r="AG122" s="77">
        <v>44882</v>
      </c>
      <c r="AH122" s="74" t="s">
        <v>918</v>
      </c>
      <c r="AI122" t="b">
        <v>0</v>
      </c>
      <c r="AQ122" t="s">
        <v>1011</v>
      </c>
      <c r="AV122" s="75" t="str">
        <f>HYPERLINK("https://pbs.twimg.com/media/FhwKbW7aAAUEZhN.jpg")</f>
        <v>https://pbs.twimg.com/media/FhwKbW7aAAUEZhN.jpg</v>
      </c>
      <c r="AW122" s="74" t="s">
        <v>1139</v>
      </c>
      <c r="AX122" s="74" t="s">
        <v>1139</v>
      </c>
      <c r="AZ122" s="74" t="s">
        <v>1384</v>
      </c>
      <c r="BA122" s="74" t="s">
        <v>1384</v>
      </c>
      <c r="BB122" s="74" t="s">
        <v>1384</v>
      </c>
      <c r="BC122" s="74" t="s">
        <v>1139</v>
      </c>
      <c r="BD122" s="74" t="s">
        <v>1447</v>
      </c>
      <c r="BJ122" s="44">
        <v>6</v>
      </c>
      <c r="BK122" s="45">
        <v>40</v>
      </c>
      <c r="BL122" s="44">
        <v>0</v>
      </c>
      <c r="BM122" s="45">
        <v>0</v>
      </c>
      <c r="BN122" s="44">
        <v>0</v>
      </c>
      <c r="BO122" s="45">
        <v>0</v>
      </c>
      <c r="BP122" s="44">
        <v>9</v>
      </c>
      <c r="BQ122" s="45">
        <v>60</v>
      </c>
      <c r="BR122" s="44">
        <v>15</v>
      </c>
      <c r="BS122">
        <v>1</v>
      </c>
      <c r="BT122" s="112" t="str">
        <f>REPLACE(INDEX(GroupVertices[Group],MATCH("~"&amp;Edges37[[#This Row],[Vertex 1]],GroupVertices[Vertex],0)),1,1,"")</f>
        <v>3</v>
      </c>
      <c r="BU122" s="112" t="str">
        <f>REPLACE(INDEX(GroupVertices[Group],MATCH("~"&amp;Edges37[[#This Row],[Vertex 2]],GroupVertices[Vertex],0)),1,1,"")</f>
        <v>3</v>
      </c>
    </row>
    <row r="123" spans="1:73" ht="15">
      <c r="A123" s="59" t="s">
        <v>288</v>
      </c>
      <c r="B123" s="59" t="s">
        <v>288</v>
      </c>
      <c r="C123" s="60"/>
      <c r="D123" s="61"/>
      <c r="E123" s="62"/>
      <c r="F123" s="63"/>
      <c r="G123" s="60"/>
      <c r="H123" s="64"/>
      <c r="I123" s="65"/>
      <c r="J123" s="65"/>
      <c r="K123" s="30" t="s">
        <v>65</v>
      </c>
      <c r="L123" s="72">
        <v>170</v>
      </c>
      <c r="M1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3" s="67"/>
      <c r="O123" t="s">
        <v>177</v>
      </c>
      <c r="P123" s="73">
        <v>45187.21202546296</v>
      </c>
      <c r="Q123" t="s">
        <v>605</v>
      </c>
      <c r="R123">
        <v>264</v>
      </c>
      <c r="S123">
        <v>855</v>
      </c>
      <c r="T123">
        <v>353</v>
      </c>
      <c r="U123">
        <v>47</v>
      </c>
      <c r="V123">
        <v>29203</v>
      </c>
      <c r="X123" s="75" t="str">
        <f>HYPERLINK("https://mediaindonesia.com/politik-dan-hukum/611063/anies-prioritaskan-pengesahan-ruu-perampasan-aset-jika-terpilih-presiden")</f>
        <v>https://mediaindonesia.com/politik-dan-hukum/611063/anies-prioritaskan-pengesahan-ruu-perampasan-aset-jika-terpilih-presiden</v>
      </c>
      <c r="Y123" t="s">
        <v>716</v>
      </c>
      <c r="AC123" s="74" t="s">
        <v>787</v>
      </c>
      <c r="AD123" t="s">
        <v>794</v>
      </c>
      <c r="AE123" s="75" t="str">
        <f>HYPERLINK("https://twitter.com/mdy_asmara1701/status/1703636295501976057")</f>
        <v>https://twitter.com/mdy_asmara1701/status/1703636295501976057</v>
      </c>
      <c r="AF123" s="73">
        <v>45187.21202546296</v>
      </c>
      <c r="AG123" s="77">
        <v>45187</v>
      </c>
      <c r="AH123" s="74" t="s">
        <v>919</v>
      </c>
      <c r="AI123" t="b">
        <v>0</v>
      </c>
      <c r="AV123" s="75" t="str">
        <f>HYPERLINK("https://pbs.twimg.com/profile_images/1603554732202553345/n_kziDFc_normal.jpg")</f>
        <v>https://pbs.twimg.com/profile_images/1603554732202553345/n_kziDFc_normal.jpg</v>
      </c>
      <c r="AW123" s="74" t="s">
        <v>1140</v>
      </c>
      <c r="AX123" s="74" t="s">
        <v>1140</v>
      </c>
      <c r="AZ123" s="74" t="s">
        <v>1384</v>
      </c>
      <c r="BA123" s="74" t="s">
        <v>1384</v>
      </c>
      <c r="BB123" s="74" t="s">
        <v>1384</v>
      </c>
      <c r="BC123" s="74" t="s">
        <v>1140</v>
      </c>
      <c r="BD123" s="74" t="s">
        <v>1323</v>
      </c>
      <c r="BJ123" s="44">
        <v>0</v>
      </c>
      <c r="BK123" s="45">
        <v>0</v>
      </c>
      <c r="BL123" s="44">
        <v>0</v>
      </c>
      <c r="BM123" s="45">
        <v>0</v>
      </c>
      <c r="BN123" s="44">
        <v>0</v>
      </c>
      <c r="BO123" s="45">
        <v>0</v>
      </c>
      <c r="BP123" s="44">
        <v>16</v>
      </c>
      <c r="BQ123" s="45">
        <v>100</v>
      </c>
      <c r="BR123" s="44">
        <v>16</v>
      </c>
      <c r="BS123">
        <v>1</v>
      </c>
      <c r="BT123" s="112" t="str">
        <f>REPLACE(INDEX(GroupVertices[Group],MATCH("~"&amp;Edges37[[#This Row],[Vertex 1]],GroupVertices[Vertex],0)),1,1,"")</f>
        <v>12</v>
      </c>
      <c r="BU123" s="112" t="str">
        <f>REPLACE(INDEX(GroupVertices[Group],MATCH("~"&amp;Edges37[[#This Row],[Vertex 2]],GroupVertices[Vertex],0)),1,1,"")</f>
        <v>12</v>
      </c>
    </row>
    <row r="124" spans="1:73" ht="15">
      <c r="A124" s="59" t="s">
        <v>289</v>
      </c>
      <c r="B124" s="59" t="s">
        <v>425</v>
      </c>
      <c r="C124" s="60"/>
      <c r="D124" s="61"/>
      <c r="E124" s="62"/>
      <c r="F124" s="63"/>
      <c r="G124" s="60"/>
      <c r="H124" s="64"/>
      <c r="I124" s="65"/>
      <c r="J124" s="65"/>
      <c r="K124" s="30" t="s">
        <v>65</v>
      </c>
      <c r="L124" s="72">
        <v>171</v>
      </c>
      <c r="M1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4" s="67"/>
      <c r="O124" t="s">
        <v>483</v>
      </c>
      <c r="P124" s="73">
        <v>44755.47994212963</v>
      </c>
      <c r="Q124" t="s">
        <v>606</v>
      </c>
      <c r="R124">
        <v>0</v>
      </c>
      <c r="S124">
        <v>0</v>
      </c>
      <c r="T124">
        <v>0</v>
      </c>
      <c r="U124">
        <v>0</v>
      </c>
      <c r="W124" s="74" t="s">
        <v>682</v>
      </c>
      <c r="Z124" t="s">
        <v>756</v>
      </c>
      <c r="AC124" s="74" t="s">
        <v>787</v>
      </c>
      <c r="AD124" t="s">
        <v>794</v>
      </c>
      <c r="AE124" s="75" t="str">
        <f>HYPERLINK("https://twitter.com/bijaksan4/status/1547181825969115136")</f>
        <v>https://twitter.com/bijaksan4/status/1547181825969115136</v>
      </c>
      <c r="AF124" s="73">
        <v>44755.47994212963</v>
      </c>
      <c r="AG124" s="77">
        <v>44755</v>
      </c>
      <c r="AH124" s="74" t="s">
        <v>920</v>
      </c>
      <c r="AV124" s="75" t="str">
        <f>HYPERLINK("https://pbs.twimg.com/profile_images/1726924426342768641/kyHaxtKr_normal.jpg")</f>
        <v>https://pbs.twimg.com/profile_images/1726924426342768641/kyHaxtKr_normal.jpg</v>
      </c>
      <c r="AW124" s="74" t="s">
        <v>1141</v>
      </c>
      <c r="AX124" s="74" t="s">
        <v>1299</v>
      </c>
      <c r="AY124" s="74" t="s">
        <v>1358</v>
      </c>
      <c r="AZ124" s="74" t="s">
        <v>1299</v>
      </c>
      <c r="BA124" s="74" t="s">
        <v>1384</v>
      </c>
      <c r="BB124" s="74" t="s">
        <v>1384</v>
      </c>
      <c r="BC124" s="74" t="s">
        <v>1299</v>
      </c>
      <c r="BD124" s="74" t="s">
        <v>1448</v>
      </c>
      <c r="BJ124" s="44">
        <v>1</v>
      </c>
      <c r="BK124" s="45">
        <v>10</v>
      </c>
      <c r="BL124" s="44">
        <v>0</v>
      </c>
      <c r="BM124" s="45">
        <v>0</v>
      </c>
      <c r="BN124" s="44">
        <v>0</v>
      </c>
      <c r="BO124" s="45">
        <v>0</v>
      </c>
      <c r="BP124" s="44">
        <v>9</v>
      </c>
      <c r="BQ124" s="45">
        <v>90</v>
      </c>
      <c r="BR124" s="44">
        <v>10</v>
      </c>
      <c r="BS124">
        <v>1</v>
      </c>
      <c r="BT124" s="112" t="str">
        <f>REPLACE(INDEX(GroupVertices[Group],MATCH("~"&amp;Edges37[[#This Row],[Vertex 1]],GroupVertices[Vertex],0)),1,1,"")</f>
        <v>15</v>
      </c>
      <c r="BU124" s="112" t="str">
        <f>REPLACE(INDEX(GroupVertices[Group],MATCH("~"&amp;Edges37[[#This Row],[Vertex 2]],GroupVertices[Vertex],0)),1,1,"")</f>
        <v>15</v>
      </c>
    </row>
    <row r="125" spans="1:73" ht="15">
      <c r="A125" s="59" t="s">
        <v>290</v>
      </c>
      <c r="B125" s="59" t="s">
        <v>426</v>
      </c>
      <c r="C125" s="60"/>
      <c r="D125" s="61"/>
      <c r="E125" s="62"/>
      <c r="F125" s="63"/>
      <c r="G125" s="60"/>
      <c r="H125" s="64"/>
      <c r="I125" s="65"/>
      <c r="J125" s="65"/>
      <c r="K125" s="30" t="s">
        <v>65</v>
      </c>
      <c r="L125" s="72">
        <v>173</v>
      </c>
      <c r="M1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5" s="67"/>
      <c r="O125" t="s">
        <v>483</v>
      </c>
      <c r="P125" s="73">
        <v>44911.466840277775</v>
      </c>
      <c r="Q125" t="s">
        <v>607</v>
      </c>
      <c r="R125">
        <v>12</v>
      </c>
      <c r="S125">
        <v>17</v>
      </c>
      <c r="T125">
        <v>1</v>
      </c>
      <c r="U125">
        <v>0</v>
      </c>
      <c r="V125">
        <v>134</v>
      </c>
      <c r="W125" s="74" t="s">
        <v>696</v>
      </c>
      <c r="Z125" t="s">
        <v>757</v>
      </c>
      <c r="AC125" s="74" t="s">
        <v>789</v>
      </c>
      <c r="AD125" t="s">
        <v>794</v>
      </c>
      <c r="AE125" s="75" t="str">
        <f>HYPERLINK("https://twitter.com/s_cintanirmala/status/1603709587341074433")</f>
        <v>https://twitter.com/s_cintanirmala/status/1603709587341074433</v>
      </c>
      <c r="AF125" s="73">
        <v>44911.466840277775</v>
      </c>
      <c r="AG125" s="77">
        <v>44911</v>
      </c>
      <c r="AH125" s="74" t="s">
        <v>921</v>
      </c>
      <c r="AV125" s="75" t="str">
        <f>HYPERLINK("https://pbs.twimg.com/profile_images/1562936385258266625/MwfjhiWX_normal.jpg")</f>
        <v>https://pbs.twimg.com/profile_images/1562936385258266625/MwfjhiWX_normal.jpg</v>
      </c>
      <c r="AW125" s="74" t="s">
        <v>1142</v>
      </c>
      <c r="AX125" s="74" t="s">
        <v>1300</v>
      </c>
      <c r="AY125" s="74" t="s">
        <v>1373</v>
      </c>
      <c r="AZ125" s="74" t="s">
        <v>1395</v>
      </c>
      <c r="BA125" s="74" t="s">
        <v>1384</v>
      </c>
      <c r="BB125" s="74" t="s">
        <v>1384</v>
      </c>
      <c r="BC125" s="74" t="s">
        <v>1395</v>
      </c>
      <c r="BD125" s="74" t="s">
        <v>1449</v>
      </c>
      <c r="BJ125" s="44"/>
      <c r="BK125" s="45"/>
      <c r="BL125" s="44"/>
      <c r="BM125" s="45"/>
      <c r="BN125" s="44"/>
      <c r="BO125" s="45"/>
      <c r="BP125" s="44"/>
      <c r="BQ125" s="45"/>
      <c r="BR125" s="44"/>
      <c r="BS125">
        <v>1</v>
      </c>
      <c r="BT125" s="112" t="str">
        <f>REPLACE(INDEX(GroupVertices[Group],MATCH("~"&amp;Edges37[[#This Row],[Vertex 1]],GroupVertices[Vertex],0)),1,1,"")</f>
        <v>1</v>
      </c>
      <c r="BU125" s="112" t="str">
        <f>REPLACE(INDEX(GroupVertices[Group],MATCH("~"&amp;Edges37[[#This Row],[Vertex 2]],GroupVertices[Vertex],0)),1,1,"")</f>
        <v>1</v>
      </c>
    </row>
    <row r="126" spans="1:73" ht="15">
      <c r="A126" s="59" t="s">
        <v>290</v>
      </c>
      <c r="B126" s="59" t="s">
        <v>455</v>
      </c>
      <c r="C126" s="60"/>
      <c r="D126" s="61"/>
      <c r="E126" s="62"/>
      <c r="F126" s="63"/>
      <c r="G126" s="60"/>
      <c r="H126" s="64"/>
      <c r="I126" s="65"/>
      <c r="J126" s="65"/>
      <c r="K126" s="30" t="s">
        <v>65</v>
      </c>
      <c r="L126" s="72">
        <v>202</v>
      </c>
      <c r="M1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6" s="67"/>
      <c r="O126" t="s">
        <v>483</v>
      </c>
      <c r="P126" s="73">
        <v>44972.248773148145</v>
      </c>
      <c r="Q126" t="s">
        <v>608</v>
      </c>
      <c r="R126">
        <v>0</v>
      </c>
      <c r="S126">
        <v>1</v>
      </c>
      <c r="T126">
        <v>1</v>
      </c>
      <c r="U126">
        <v>0</v>
      </c>
      <c r="V126">
        <v>24</v>
      </c>
      <c r="W126" s="74" t="s">
        <v>697</v>
      </c>
      <c r="Z126" t="s">
        <v>758</v>
      </c>
      <c r="AC126" s="74" t="s">
        <v>789</v>
      </c>
      <c r="AD126" t="s">
        <v>794</v>
      </c>
      <c r="AE126" s="75" t="str">
        <f>HYPERLINK("https://twitter.com/s_cintanirmala/status/1625736222651088897")</f>
        <v>https://twitter.com/s_cintanirmala/status/1625736222651088897</v>
      </c>
      <c r="AF126" s="73">
        <v>44972.248773148145</v>
      </c>
      <c r="AG126" s="77">
        <v>44972</v>
      </c>
      <c r="AH126" s="74" t="s">
        <v>922</v>
      </c>
      <c r="AV126" s="75" t="str">
        <f>HYPERLINK("https://pbs.twimg.com/profile_images/1562936385258266625/MwfjhiWX_normal.jpg")</f>
        <v>https://pbs.twimg.com/profile_images/1562936385258266625/MwfjhiWX_normal.jpg</v>
      </c>
      <c r="AW126" s="74" t="s">
        <v>1143</v>
      </c>
      <c r="AX126" s="74" t="s">
        <v>1301</v>
      </c>
      <c r="AY126" s="74" t="s">
        <v>1374</v>
      </c>
      <c r="AZ126" s="74" t="s">
        <v>1396</v>
      </c>
      <c r="BA126" s="74" t="s">
        <v>1384</v>
      </c>
      <c r="BB126" s="74" t="s">
        <v>1384</v>
      </c>
      <c r="BC126" s="74" t="s">
        <v>1396</v>
      </c>
      <c r="BD126" s="74" t="s">
        <v>1449</v>
      </c>
      <c r="BJ126" s="44"/>
      <c r="BK126" s="45"/>
      <c r="BL126" s="44"/>
      <c r="BM126" s="45"/>
      <c r="BN126" s="44"/>
      <c r="BO126" s="45"/>
      <c r="BP126" s="44"/>
      <c r="BQ126" s="45"/>
      <c r="BR126" s="44"/>
      <c r="BS126">
        <v>1</v>
      </c>
      <c r="BT126" s="112" t="str">
        <f>REPLACE(INDEX(GroupVertices[Group],MATCH("~"&amp;Edges37[[#This Row],[Vertex 1]],GroupVertices[Vertex],0)),1,1,"")</f>
        <v>1</v>
      </c>
      <c r="BU126" s="112" t="str">
        <f>REPLACE(INDEX(GroupVertices[Group],MATCH("~"&amp;Edges37[[#This Row],[Vertex 2]],GroupVertices[Vertex],0)),1,1,"")</f>
        <v>1</v>
      </c>
    </row>
    <row r="127" spans="1:73" ht="15">
      <c r="A127" s="59" t="s">
        <v>291</v>
      </c>
      <c r="B127" s="59" t="s">
        <v>328</v>
      </c>
      <c r="C127" s="60"/>
      <c r="D127" s="61"/>
      <c r="E127" s="62"/>
      <c r="F127" s="63"/>
      <c r="G127" s="60"/>
      <c r="H127" s="64"/>
      <c r="I127" s="65"/>
      <c r="J127" s="65"/>
      <c r="K127" s="30" t="s">
        <v>65</v>
      </c>
      <c r="L127" s="72">
        <v>208</v>
      </c>
      <c r="M1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7" s="67"/>
      <c r="O127" t="s">
        <v>484</v>
      </c>
      <c r="P127" s="73">
        <v>44732.545127314814</v>
      </c>
      <c r="Q127" t="s">
        <v>609</v>
      </c>
      <c r="R127">
        <v>0</v>
      </c>
      <c r="S127">
        <v>0</v>
      </c>
      <c r="T127">
        <v>0</v>
      </c>
      <c r="U127">
        <v>0</v>
      </c>
      <c r="W127" s="74" t="s">
        <v>698</v>
      </c>
      <c r="AC127" s="74" t="s">
        <v>787</v>
      </c>
      <c r="AD127" t="s">
        <v>794</v>
      </c>
      <c r="AE127" s="75" t="str">
        <f>HYPERLINK("https://twitter.com/manisewidiarti/status/1538870530392006656")</f>
        <v>https://twitter.com/manisewidiarti/status/1538870530392006656</v>
      </c>
      <c r="AF127" s="73">
        <v>44732.545127314814</v>
      </c>
      <c r="AG127" s="77">
        <v>44732</v>
      </c>
      <c r="AH127" s="74" t="s">
        <v>923</v>
      </c>
      <c r="AV127" s="75" t="str">
        <f>HYPERLINK("https://pbs.twimg.com/profile_images/1566765240179499010/TFlWzTGL_normal.jpg")</f>
        <v>https://pbs.twimg.com/profile_images/1566765240179499010/TFlWzTGL_normal.jpg</v>
      </c>
      <c r="AW127" s="74" t="s">
        <v>1144</v>
      </c>
      <c r="AX127" s="74" t="s">
        <v>1144</v>
      </c>
      <c r="AZ127" s="74" t="s">
        <v>1384</v>
      </c>
      <c r="BA127" s="74" t="s">
        <v>1190</v>
      </c>
      <c r="BB127" s="74" t="s">
        <v>1384</v>
      </c>
      <c r="BC127" s="74" t="s">
        <v>1190</v>
      </c>
      <c r="BD127" s="74" t="s">
        <v>1450</v>
      </c>
      <c r="BJ127" s="44">
        <v>4</v>
      </c>
      <c r="BK127" s="45">
        <v>40</v>
      </c>
      <c r="BL127" s="44">
        <v>1</v>
      </c>
      <c r="BM127" s="45">
        <v>10</v>
      </c>
      <c r="BN127" s="44">
        <v>0</v>
      </c>
      <c r="BO127" s="45">
        <v>0</v>
      </c>
      <c r="BP127" s="44">
        <v>5</v>
      </c>
      <c r="BQ127" s="45">
        <v>50</v>
      </c>
      <c r="BR127" s="44">
        <v>10</v>
      </c>
      <c r="BS127">
        <v>1</v>
      </c>
      <c r="BT127" s="112" t="str">
        <f>REPLACE(INDEX(GroupVertices[Group],MATCH("~"&amp;Edges37[[#This Row],[Vertex 1]],GroupVertices[Vertex],0)),1,1,"")</f>
        <v>19</v>
      </c>
      <c r="BU127" s="112" t="str">
        <f>REPLACE(INDEX(GroupVertices[Group],MATCH("~"&amp;Edges37[[#This Row],[Vertex 2]],GroupVertices[Vertex],0)),1,1,"")</f>
        <v>19</v>
      </c>
    </row>
    <row r="128" spans="1:73" ht="15">
      <c r="A128" s="59" t="s">
        <v>291</v>
      </c>
      <c r="B128" s="59" t="s">
        <v>291</v>
      </c>
      <c r="C128" s="60"/>
      <c r="D128" s="61"/>
      <c r="E128" s="62"/>
      <c r="F128" s="63"/>
      <c r="G128" s="60"/>
      <c r="H128" s="64"/>
      <c r="I128" s="65"/>
      <c r="J128" s="65"/>
      <c r="K128" s="30" t="s">
        <v>65</v>
      </c>
      <c r="L128" s="72">
        <v>209</v>
      </c>
      <c r="M1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8" s="67"/>
      <c r="O128" t="s">
        <v>177</v>
      </c>
      <c r="P128" s="73">
        <v>44732.24650462963</v>
      </c>
      <c r="Q128" t="s">
        <v>610</v>
      </c>
      <c r="R128">
        <v>1</v>
      </c>
      <c r="S128">
        <v>1</v>
      </c>
      <c r="T128">
        <v>0</v>
      </c>
      <c r="U128">
        <v>0</v>
      </c>
      <c r="W128" s="74" t="s">
        <v>699</v>
      </c>
      <c r="AC128" s="74" t="s">
        <v>787</v>
      </c>
      <c r="AD128" t="s">
        <v>794</v>
      </c>
      <c r="AE128" s="75" t="str">
        <f>HYPERLINK("https://twitter.com/manisewidiarti/status/1538762311732629504")</f>
        <v>https://twitter.com/manisewidiarti/status/1538762311732629504</v>
      </c>
      <c r="AF128" s="73">
        <v>44732.24650462963</v>
      </c>
      <c r="AG128" s="77">
        <v>44732</v>
      </c>
      <c r="AH128" s="74" t="s">
        <v>924</v>
      </c>
      <c r="AV128" s="75" t="str">
        <f>HYPERLINK("https://pbs.twimg.com/profile_images/1566765240179499010/TFlWzTGL_normal.jpg")</f>
        <v>https://pbs.twimg.com/profile_images/1566765240179499010/TFlWzTGL_normal.jpg</v>
      </c>
      <c r="AW128" s="74" t="s">
        <v>1145</v>
      </c>
      <c r="AX128" s="74" t="s">
        <v>1145</v>
      </c>
      <c r="AZ128" s="74" t="s">
        <v>1384</v>
      </c>
      <c r="BA128" s="74" t="s">
        <v>1384</v>
      </c>
      <c r="BB128" s="74" t="s">
        <v>1384</v>
      </c>
      <c r="BC128" s="74" t="s">
        <v>1145</v>
      </c>
      <c r="BD128" s="74" t="s">
        <v>1450</v>
      </c>
      <c r="BJ128" s="44">
        <v>4</v>
      </c>
      <c r="BK128" s="45">
        <v>16.666666666666668</v>
      </c>
      <c r="BL128" s="44">
        <v>1</v>
      </c>
      <c r="BM128" s="45">
        <v>4.166666666666667</v>
      </c>
      <c r="BN128" s="44">
        <v>0</v>
      </c>
      <c r="BO128" s="45">
        <v>0</v>
      </c>
      <c r="BP128" s="44">
        <v>19</v>
      </c>
      <c r="BQ128" s="45">
        <v>79.16666666666667</v>
      </c>
      <c r="BR128" s="44">
        <v>24</v>
      </c>
      <c r="BS128">
        <v>1</v>
      </c>
      <c r="BT128" s="112" t="str">
        <f>REPLACE(INDEX(GroupVertices[Group],MATCH("~"&amp;Edges37[[#This Row],[Vertex 1]],GroupVertices[Vertex],0)),1,1,"")</f>
        <v>19</v>
      </c>
      <c r="BU128" s="112" t="str">
        <f>REPLACE(INDEX(GroupVertices[Group],MATCH("~"&amp;Edges37[[#This Row],[Vertex 2]],GroupVertices[Vertex],0)),1,1,"")</f>
        <v>19</v>
      </c>
    </row>
    <row r="129" spans="1:73" ht="15">
      <c r="A129" s="59" t="s">
        <v>292</v>
      </c>
      <c r="B129" s="59" t="s">
        <v>292</v>
      </c>
      <c r="C129" s="60"/>
      <c r="D129" s="61"/>
      <c r="E129" s="62"/>
      <c r="F129" s="63"/>
      <c r="G129" s="60"/>
      <c r="H129" s="64"/>
      <c r="I129" s="65"/>
      <c r="J129" s="65"/>
      <c r="K129" s="30" t="s">
        <v>65</v>
      </c>
      <c r="L129" s="72">
        <v>212</v>
      </c>
      <c r="M1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9" s="67"/>
      <c r="O129" t="s">
        <v>177</v>
      </c>
      <c r="P129" s="73">
        <v>44560.125601851854</v>
      </c>
      <c r="Q129" t="s">
        <v>611</v>
      </c>
      <c r="R129">
        <v>0</v>
      </c>
      <c r="S129">
        <v>0</v>
      </c>
      <c r="T129">
        <v>0</v>
      </c>
      <c r="U129">
        <v>0</v>
      </c>
      <c r="AC129" s="74" t="s">
        <v>787</v>
      </c>
      <c r="AD129" t="s">
        <v>794</v>
      </c>
      <c r="AE129" s="75" t="str">
        <f>HYPERLINK("https://twitter.com/odang4z/status/1476387785124712450")</f>
        <v>https://twitter.com/odang4z/status/1476387785124712450</v>
      </c>
      <c r="AF129" s="73">
        <v>44560.125601851854</v>
      </c>
      <c r="AG129" s="77">
        <v>44560</v>
      </c>
      <c r="AH129" s="74" t="s">
        <v>925</v>
      </c>
      <c r="AV129" s="75" t="str">
        <f>HYPERLINK("https://pbs.twimg.com/profile_images/1405213344793989126/Yu21MbZB_normal.jpg")</f>
        <v>https://pbs.twimg.com/profile_images/1405213344793989126/Yu21MbZB_normal.jpg</v>
      </c>
      <c r="AW129" s="74" t="s">
        <v>1146</v>
      </c>
      <c r="AX129" s="74" t="s">
        <v>1146</v>
      </c>
      <c r="AZ129" s="74" t="s">
        <v>1384</v>
      </c>
      <c r="BA129" s="74" t="s">
        <v>1384</v>
      </c>
      <c r="BB129" s="74" t="s">
        <v>1384</v>
      </c>
      <c r="BC129" s="74" t="s">
        <v>1146</v>
      </c>
      <c r="BD129">
        <v>49373951</v>
      </c>
      <c r="BJ129" s="44">
        <v>3</v>
      </c>
      <c r="BK129" s="45">
        <v>100</v>
      </c>
      <c r="BL129" s="44">
        <v>0</v>
      </c>
      <c r="BM129" s="45">
        <v>0</v>
      </c>
      <c r="BN129" s="44">
        <v>0</v>
      </c>
      <c r="BO129" s="45">
        <v>0</v>
      </c>
      <c r="BP129" s="44">
        <v>0</v>
      </c>
      <c r="BQ129" s="45">
        <v>0</v>
      </c>
      <c r="BR129" s="44">
        <v>3</v>
      </c>
      <c r="BS129">
        <v>27</v>
      </c>
      <c r="BT129" s="112" t="str">
        <f>REPLACE(INDEX(GroupVertices[Group],MATCH("~"&amp;Edges37[[#This Row],[Vertex 1]],GroupVertices[Vertex],0)),1,1,"")</f>
        <v>3</v>
      </c>
      <c r="BU129" s="112" t="str">
        <f>REPLACE(INDEX(GroupVertices[Group],MATCH("~"&amp;Edges37[[#This Row],[Vertex 2]],GroupVertices[Vertex],0)),1,1,"")</f>
        <v>3</v>
      </c>
    </row>
    <row r="130" spans="1:73" ht="15">
      <c r="A130" s="59" t="s">
        <v>293</v>
      </c>
      <c r="B130" s="59" t="s">
        <v>462</v>
      </c>
      <c r="C130" s="60"/>
      <c r="D130" s="61"/>
      <c r="E130" s="62"/>
      <c r="F130" s="63"/>
      <c r="G130" s="60"/>
      <c r="H130" s="64"/>
      <c r="I130" s="65"/>
      <c r="J130" s="65"/>
      <c r="K130" s="30" t="s">
        <v>65</v>
      </c>
      <c r="L130" s="72">
        <v>213</v>
      </c>
      <c r="M1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0" s="67"/>
      <c r="O130" t="s">
        <v>481</v>
      </c>
      <c r="P130" s="73">
        <v>44599.467465277776</v>
      </c>
      <c r="Q130" t="s">
        <v>612</v>
      </c>
      <c r="R130">
        <v>0</v>
      </c>
      <c r="S130">
        <v>0</v>
      </c>
      <c r="T130">
        <v>0</v>
      </c>
      <c r="U130">
        <v>0</v>
      </c>
      <c r="X130" s="75" t="str">
        <f>HYPERLINK("https://youtu.be/PA1YYNZ3g70")</f>
        <v>https://youtu.be/PA1YYNZ3g70</v>
      </c>
      <c r="Y130" t="s">
        <v>717</v>
      </c>
      <c r="Z130" t="s">
        <v>462</v>
      </c>
      <c r="AC130" s="74" t="s">
        <v>786</v>
      </c>
      <c r="AD130" t="s">
        <v>794</v>
      </c>
      <c r="AE130" s="75" t="str">
        <f>HYPERLINK("https://twitter.com/marieberubah/status/1490644798889668615")</f>
        <v>https://twitter.com/marieberubah/status/1490644798889668615</v>
      </c>
      <c r="AF130" s="73">
        <v>44599.467465277776</v>
      </c>
      <c r="AG130" s="77">
        <v>44599</v>
      </c>
      <c r="AH130" s="74" t="s">
        <v>926</v>
      </c>
      <c r="AI130" t="b">
        <v>0</v>
      </c>
      <c r="AV130" s="75" t="str">
        <f>HYPERLINK("https://pbs.twimg.com/profile_images/1692564893118164992/I-c6NE3F_normal.jpg")</f>
        <v>https://pbs.twimg.com/profile_images/1692564893118164992/I-c6NE3F_normal.jpg</v>
      </c>
      <c r="AW130" s="74" t="s">
        <v>1147</v>
      </c>
      <c r="AX130" s="74" t="s">
        <v>1147</v>
      </c>
      <c r="AZ130" s="74" t="s">
        <v>1384</v>
      </c>
      <c r="BA130" s="74" t="s">
        <v>1384</v>
      </c>
      <c r="BB130" s="74" t="s">
        <v>1384</v>
      </c>
      <c r="BC130" s="74" t="s">
        <v>1147</v>
      </c>
      <c r="BD130">
        <v>620006235</v>
      </c>
      <c r="BJ130" s="44">
        <v>3</v>
      </c>
      <c r="BK130" s="45">
        <v>27.272727272727273</v>
      </c>
      <c r="BL130" s="44">
        <v>0</v>
      </c>
      <c r="BM130" s="45">
        <v>0</v>
      </c>
      <c r="BN130" s="44">
        <v>0</v>
      </c>
      <c r="BO130" s="45">
        <v>0</v>
      </c>
      <c r="BP130" s="44">
        <v>8</v>
      </c>
      <c r="BQ130" s="45">
        <v>72.72727272727273</v>
      </c>
      <c r="BR130" s="44">
        <v>11</v>
      </c>
      <c r="BS130">
        <v>1</v>
      </c>
      <c r="BT130" s="112" t="str">
        <f>REPLACE(INDEX(GroupVertices[Group],MATCH("~"&amp;Edges37[[#This Row],[Vertex 1]],GroupVertices[Vertex],0)),1,1,"")</f>
        <v>30</v>
      </c>
      <c r="BU130" s="112" t="str">
        <f>REPLACE(INDEX(GroupVertices[Group],MATCH("~"&amp;Edges37[[#This Row],[Vertex 2]],GroupVertices[Vertex],0)),1,1,"")</f>
        <v>30</v>
      </c>
    </row>
    <row r="131" spans="1:73" ht="15">
      <c r="A131" s="59" t="s">
        <v>294</v>
      </c>
      <c r="B131" s="59" t="s">
        <v>339</v>
      </c>
      <c r="C131" s="60"/>
      <c r="D131" s="61"/>
      <c r="E131" s="62"/>
      <c r="F131" s="63"/>
      <c r="G131" s="60"/>
      <c r="H131" s="64"/>
      <c r="I131" s="65"/>
      <c r="J131" s="65"/>
      <c r="K131" s="30" t="s">
        <v>65</v>
      </c>
      <c r="L131" s="72">
        <v>214</v>
      </c>
      <c r="M1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1" s="67"/>
      <c r="O131" t="s">
        <v>482</v>
      </c>
      <c r="P131" s="73">
        <v>44822.54193287037</v>
      </c>
      <c r="Q131" t="s">
        <v>613</v>
      </c>
      <c r="R131">
        <v>0</v>
      </c>
      <c r="S131">
        <v>1</v>
      </c>
      <c r="T131">
        <v>0</v>
      </c>
      <c r="U131">
        <v>0</v>
      </c>
      <c r="W131" s="74" t="s">
        <v>682</v>
      </c>
      <c r="Z131" t="s">
        <v>339</v>
      </c>
      <c r="AC131" s="74" t="s">
        <v>787</v>
      </c>
      <c r="AD131" t="s">
        <v>794</v>
      </c>
      <c r="AE131" s="75" t="str">
        <f>HYPERLINK("https://twitter.com/rizalmedian/status/1571484280546807808")</f>
        <v>https://twitter.com/rizalmedian/status/1571484280546807808</v>
      </c>
      <c r="AF131" s="73">
        <v>44822.54193287037</v>
      </c>
      <c r="AG131" s="77">
        <v>44822</v>
      </c>
      <c r="AH131" s="74" t="s">
        <v>927</v>
      </c>
      <c r="AV131" s="75" t="str">
        <f>HYPERLINK("https://pbs.twimg.com/profile_images/1544080357473099777/d7EycaIp_normal.jpg")</f>
        <v>https://pbs.twimg.com/profile_images/1544080357473099777/d7EycaIp_normal.jpg</v>
      </c>
      <c r="AW131" s="74" t="s">
        <v>1148</v>
      </c>
      <c r="AX131" s="74" t="s">
        <v>1302</v>
      </c>
      <c r="AY131" s="74" t="s">
        <v>1324</v>
      </c>
      <c r="AZ131" s="74" t="s">
        <v>1302</v>
      </c>
      <c r="BA131" s="74" t="s">
        <v>1384</v>
      </c>
      <c r="BB131" s="74" t="s">
        <v>1384</v>
      </c>
      <c r="BC131" s="74" t="s">
        <v>1302</v>
      </c>
      <c r="BD131" s="74" t="s">
        <v>1451</v>
      </c>
      <c r="BJ131" s="44">
        <v>2</v>
      </c>
      <c r="BK131" s="45">
        <v>11.764705882352942</v>
      </c>
      <c r="BL131" s="44">
        <v>0</v>
      </c>
      <c r="BM131" s="45">
        <v>0</v>
      </c>
      <c r="BN131" s="44">
        <v>0</v>
      </c>
      <c r="BO131" s="45">
        <v>0</v>
      </c>
      <c r="BP131" s="44">
        <v>15</v>
      </c>
      <c r="BQ131" s="45">
        <v>88.23529411764706</v>
      </c>
      <c r="BR131" s="44">
        <v>17</v>
      </c>
      <c r="BS131">
        <v>1</v>
      </c>
      <c r="BT131" s="112" t="str">
        <f>REPLACE(INDEX(GroupVertices[Group],MATCH("~"&amp;Edges37[[#This Row],[Vertex 1]],GroupVertices[Vertex],0)),1,1,"")</f>
        <v>12</v>
      </c>
      <c r="BU131" s="112" t="str">
        <f>REPLACE(INDEX(GroupVertices[Group],MATCH("~"&amp;Edges37[[#This Row],[Vertex 2]],GroupVertices[Vertex],0)),1,1,"")</f>
        <v>12</v>
      </c>
    </row>
    <row r="132" spans="1:73" ht="15">
      <c r="A132" s="59" t="s">
        <v>295</v>
      </c>
      <c r="B132" s="59" t="s">
        <v>463</v>
      </c>
      <c r="C132" s="60"/>
      <c r="D132" s="61"/>
      <c r="E132" s="62"/>
      <c r="F132" s="63"/>
      <c r="G132" s="60"/>
      <c r="H132" s="64"/>
      <c r="I132" s="65"/>
      <c r="J132" s="65"/>
      <c r="K132" s="30" t="s">
        <v>65</v>
      </c>
      <c r="L132" s="72">
        <v>215</v>
      </c>
      <c r="M1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2" s="67"/>
      <c r="O132" t="s">
        <v>483</v>
      </c>
      <c r="P132" s="73">
        <v>44811.67144675926</v>
      </c>
      <c r="Q132" t="s">
        <v>614</v>
      </c>
      <c r="R132">
        <v>3</v>
      </c>
      <c r="S132">
        <v>5</v>
      </c>
      <c r="T132">
        <v>1</v>
      </c>
      <c r="U132">
        <v>0</v>
      </c>
      <c r="W132" s="74" t="s">
        <v>682</v>
      </c>
      <c r="Z132" t="s">
        <v>759</v>
      </c>
      <c r="AC132" s="74" t="s">
        <v>787</v>
      </c>
      <c r="AD132" t="s">
        <v>794</v>
      </c>
      <c r="AE132" s="75" t="str">
        <f>HYPERLINK("https://twitter.com/awakblangdalam/status/1567544944809889793")</f>
        <v>https://twitter.com/awakblangdalam/status/1567544944809889793</v>
      </c>
      <c r="AF132" s="73">
        <v>44811.67144675926</v>
      </c>
      <c r="AG132" s="77">
        <v>44811</v>
      </c>
      <c r="AH132" s="74" t="s">
        <v>928</v>
      </c>
      <c r="AV132" s="75" t="str">
        <f>HYPERLINK("https://pbs.twimg.com/profile_images/1529768170692628481/tLhXznq8_normal.jpg")</f>
        <v>https://pbs.twimg.com/profile_images/1529768170692628481/tLhXznq8_normal.jpg</v>
      </c>
      <c r="AW132" s="74" t="s">
        <v>1149</v>
      </c>
      <c r="AX132" s="74" t="s">
        <v>1303</v>
      </c>
      <c r="AY132" s="74" t="s">
        <v>1375</v>
      </c>
      <c r="AZ132" s="74" t="s">
        <v>1397</v>
      </c>
      <c r="BA132" s="74" t="s">
        <v>1384</v>
      </c>
      <c r="BB132" s="74" t="s">
        <v>1384</v>
      </c>
      <c r="BC132" s="74" t="s">
        <v>1397</v>
      </c>
      <c r="BD132" s="74" t="s">
        <v>1452</v>
      </c>
      <c r="BJ132" s="44"/>
      <c r="BK132" s="45"/>
      <c r="BL132" s="44"/>
      <c r="BM132" s="45"/>
      <c r="BN132" s="44"/>
      <c r="BO132" s="45"/>
      <c r="BP132" s="44"/>
      <c r="BQ132" s="45"/>
      <c r="BR132" s="44"/>
      <c r="BS132">
        <v>1</v>
      </c>
      <c r="BT132" s="112" t="str">
        <f>REPLACE(INDEX(GroupVertices[Group],MATCH("~"&amp;Edges37[[#This Row],[Vertex 1]],GroupVertices[Vertex],0)),1,1,"")</f>
        <v>11</v>
      </c>
      <c r="BU132" s="112" t="str">
        <f>REPLACE(INDEX(GroupVertices[Group],MATCH("~"&amp;Edges37[[#This Row],[Vertex 2]],GroupVertices[Vertex],0)),1,1,"")</f>
        <v>11</v>
      </c>
    </row>
    <row r="133" spans="1:73" ht="15">
      <c r="A133" s="59" t="s">
        <v>295</v>
      </c>
      <c r="B133" s="59" t="s">
        <v>314</v>
      </c>
      <c r="C133" s="60"/>
      <c r="D133" s="61"/>
      <c r="E133" s="62"/>
      <c r="F133" s="63"/>
      <c r="G133" s="60"/>
      <c r="H133" s="64"/>
      <c r="I133" s="65"/>
      <c r="J133" s="65"/>
      <c r="K133" s="30" t="s">
        <v>65</v>
      </c>
      <c r="L133" s="72">
        <v>218</v>
      </c>
      <c r="M1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3" s="67"/>
      <c r="O133" t="s">
        <v>484</v>
      </c>
      <c r="P133" s="73">
        <v>44843.711643518516</v>
      </c>
      <c r="Q133" t="s">
        <v>615</v>
      </c>
      <c r="R133">
        <v>0</v>
      </c>
      <c r="S133">
        <v>0</v>
      </c>
      <c r="T133">
        <v>0</v>
      </c>
      <c r="U133">
        <v>0</v>
      </c>
      <c r="W133" s="74" t="s">
        <v>682</v>
      </c>
      <c r="AC133" s="74" t="s">
        <v>787</v>
      </c>
      <c r="AD133" t="s">
        <v>798</v>
      </c>
      <c r="AE133" s="75" t="str">
        <f>HYPERLINK("https://twitter.com/awakblangdalam/status/1579155925419425792")</f>
        <v>https://twitter.com/awakblangdalam/status/1579155925419425792</v>
      </c>
      <c r="AF133" s="73">
        <v>44843.711643518516</v>
      </c>
      <c r="AG133" s="77">
        <v>44843</v>
      </c>
      <c r="AH133" s="74" t="s">
        <v>929</v>
      </c>
      <c r="AV133" s="75" t="str">
        <f>HYPERLINK("https://pbs.twimg.com/profile_images/1529768170692628481/tLhXznq8_normal.jpg")</f>
        <v>https://pbs.twimg.com/profile_images/1529768170692628481/tLhXznq8_normal.jpg</v>
      </c>
      <c r="AW133" s="74" t="s">
        <v>1150</v>
      </c>
      <c r="AX133" s="74" t="s">
        <v>1150</v>
      </c>
      <c r="AZ133" s="74" t="s">
        <v>1384</v>
      </c>
      <c r="BA133" s="74" t="s">
        <v>1174</v>
      </c>
      <c r="BB133" s="74" t="s">
        <v>1384</v>
      </c>
      <c r="BC133" s="74" t="s">
        <v>1174</v>
      </c>
      <c r="BD133" s="74" t="s">
        <v>1452</v>
      </c>
      <c r="BJ133" s="44">
        <v>0</v>
      </c>
      <c r="BK133" s="45">
        <v>0</v>
      </c>
      <c r="BL133" s="44">
        <v>0</v>
      </c>
      <c r="BM133" s="45">
        <v>0</v>
      </c>
      <c r="BN133" s="44">
        <v>0</v>
      </c>
      <c r="BO133" s="45">
        <v>0</v>
      </c>
      <c r="BP133" s="44">
        <v>1</v>
      </c>
      <c r="BQ133" s="45">
        <v>100</v>
      </c>
      <c r="BR133" s="44">
        <v>1</v>
      </c>
      <c r="BS133">
        <v>1</v>
      </c>
      <c r="BT133" s="112" t="str">
        <f>REPLACE(INDEX(GroupVertices[Group],MATCH("~"&amp;Edges37[[#This Row],[Vertex 1]],GroupVertices[Vertex],0)),1,1,"")</f>
        <v>11</v>
      </c>
      <c r="BU133" s="112" t="str">
        <f>REPLACE(INDEX(GroupVertices[Group],MATCH("~"&amp;Edges37[[#This Row],[Vertex 2]],GroupVertices[Vertex],0)),1,1,"")</f>
        <v>11</v>
      </c>
    </row>
    <row r="134" spans="1:73" ht="15">
      <c r="A134" s="59" t="s">
        <v>296</v>
      </c>
      <c r="B134" s="59" t="s">
        <v>466</v>
      </c>
      <c r="C134" s="60"/>
      <c r="D134" s="61"/>
      <c r="E134" s="62"/>
      <c r="F134" s="63"/>
      <c r="G134" s="60"/>
      <c r="H134" s="64"/>
      <c r="I134" s="65"/>
      <c r="J134" s="65"/>
      <c r="K134" s="30" t="s">
        <v>65</v>
      </c>
      <c r="L134" s="72">
        <v>219</v>
      </c>
      <c r="M1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4" s="67"/>
      <c r="O134" t="s">
        <v>483</v>
      </c>
      <c r="P134" s="73">
        <v>44840.43109953704</v>
      </c>
      <c r="Q134" t="s">
        <v>616</v>
      </c>
      <c r="R134">
        <v>0</v>
      </c>
      <c r="S134">
        <v>0</v>
      </c>
      <c r="T134">
        <v>0</v>
      </c>
      <c r="U134">
        <v>0</v>
      </c>
      <c r="Z134" t="s">
        <v>760</v>
      </c>
      <c r="AC134" s="74" t="s">
        <v>787</v>
      </c>
      <c r="AD134" t="s">
        <v>794</v>
      </c>
      <c r="AE134" s="75" t="str">
        <f>HYPERLINK("https://twitter.com/rakyatkecik/status/1577967094263488512")</f>
        <v>https://twitter.com/rakyatkecik/status/1577967094263488512</v>
      </c>
      <c r="AF134" s="73">
        <v>44840.43109953704</v>
      </c>
      <c r="AG134" s="77">
        <v>44840</v>
      </c>
      <c r="AH134" s="74" t="s">
        <v>930</v>
      </c>
      <c r="AV134" s="75" t="str">
        <f>HYPERLINK("https://pbs.twimg.com/profile_images/1715725600445603840/Asg-oRZQ_normal.jpg")</f>
        <v>https://pbs.twimg.com/profile_images/1715725600445603840/Asg-oRZQ_normal.jpg</v>
      </c>
      <c r="AW134" s="74" t="s">
        <v>1151</v>
      </c>
      <c r="AX134" s="74" t="s">
        <v>1304</v>
      </c>
      <c r="AY134" s="74" t="s">
        <v>1376</v>
      </c>
      <c r="AZ134" s="74" t="s">
        <v>1398</v>
      </c>
      <c r="BA134" s="74" t="s">
        <v>1384</v>
      </c>
      <c r="BB134" s="74" t="s">
        <v>1384</v>
      </c>
      <c r="BC134" s="74" t="s">
        <v>1398</v>
      </c>
      <c r="BD134">
        <v>64611930</v>
      </c>
      <c r="BJ134" s="44">
        <v>3</v>
      </c>
      <c r="BK134" s="45">
        <v>60</v>
      </c>
      <c r="BL134" s="44">
        <v>0</v>
      </c>
      <c r="BM134" s="45">
        <v>0</v>
      </c>
      <c r="BN134" s="44">
        <v>0</v>
      </c>
      <c r="BO134" s="45">
        <v>0</v>
      </c>
      <c r="BP134" s="44">
        <v>2</v>
      </c>
      <c r="BQ134" s="45">
        <v>40</v>
      </c>
      <c r="BR134" s="44">
        <v>5</v>
      </c>
      <c r="BS134">
        <v>1</v>
      </c>
      <c r="BT134" s="112" t="str">
        <f>REPLACE(INDEX(GroupVertices[Group],MATCH("~"&amp;Edges37[[#This Row],[Vertex 1]],GroupVertices[Vertex],0)),1,1,"")</f>
        <v>34</v>
      </c>
      <c r="BU134" s="112" t="str">
        <f>REPLACE(INDEX(GroupVertices[Group],MATCH("~"&amp;Edges37[[#This Row],[Vertex 2]],GroupVertices[Vertex],0)),1,1,"")</f>
        <v>34</v>
      </c>
    </row>
    <row r="135" spans="1:73" ht="15">
      <c r="A135" s="59" t="s">
        <v>297</v>
      </c>
      <c r="B135" s="59" t="s">
        <v>297</v>
      </c>
      <c r="C135" s="60"/>
      <c r="D135" s="61"/>
      <c r="E135" s="62"/>
      <c r="F135" s="63"/>
      <c r="G135" s="60"/>
      <c r="H135" s="64"/>
      <c r="I135" s="65"/>
      <c r="J135" s="65"/>
      <c r="K135" s="30" t="s">
        <v>65</v>
      </c>
      <c r="L135" s="72">
        <v>220</v>
      </c>
      <c r="M1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5" s="67"/>
      <c r="O135" t="s">
        <v>177</v>
      </c>
      <c r="P135" s="73">
        <v>44708.092002314814</v>
      </c>
      <c r="Q135" t="s">
        <v>617</v>
      </c>
      <c r="R135">
        <v>0</v>
      </c>
      <c r="S135">
        <v>3</v>
      </c>
      <c r="T135">
        <v>0</v>
      </c>
      <c r="U135">
        <v>0</v>
      </c>
      <c r="W135" s="74" t="s">
        <v>682</v>
      </c>
      <c r="AC135" s="74" t="s">
        <v>787</v>
      </c>
      <c r="AD135" t="s">
        <v>794</v>
      </c>
      <c r="AE135" s="75" t="str">
        <f>HYPERLINK("https://twitter.com/terapungkembali/status/1530009013605236736")</f>
        <v>https://twitter.com/terapungkembali/status/1530009013605236736</v>
      </c>
      <c r="AF135" s="73">
        <v>44708.092002314814</v>
      </c>
      <c r="AG135" s="77">
        <v>44708</v>
      </c>
      <c r="AH135" s="74" t="s">
        <v>931</v>
      </c>
      <c r="AV135" s="75" t="str">
        <f>HYPERLINK("https://pbs.twimg.com/profile_images/1727941910642454528/MClKHgLX_normal.jpg")</f>
        <v>https://pbs.twimg.com/profile_images/1727941910642454528/MClKHgLX_normal.jpg</v>
      </c>
      <c r="AW135" s="74" t="s">
        <v>1152</v>
      </c>
      <c r="AX135" s="74" t="s">
        <v>1152</v>
      </c>
      <c r="AZ135" s="74" t="s">
        <v>1384</v>
      </c>
      <c r="BA135" s="74" t="s">
        <v>1384</v>
      </c>
      <c r="BB135" s="74" t="s">
        <v>1384</v>
      </c>
      <c r="BC135" s="74" t="s">
        <v>1152</v>
      </c>
      <c r="BD135" s="74" t="s">
        <v>1453</v>
      </c>
      <c r="BJ135" s="44">
        <v>0</v>
      </c>
      <c r="BK135" s="45">
        <v>0</v>
      </c>
      <c r="BL135" s="44">
        <v>0</v>
      </c>
      <c r="BM135" s="45">
        <v>0</v>
      </c>
      <c r="BN135" s="44">
        <v>0</v>
      </c>
      <c r="BO135" s="45">
        <v>0</v>
      </c>
      <c r="BP135" s="44">
        <v>12</v>
      </c>
      <c r="BQ135" s="45">
        <v>100</v>
      </c>
      <c r="BR135" s="44">
        <v>12</v>
      </c>
      <c r="BS135">
        <v>1</v>
      </c>
      <c r="BT135" s="112" t="str">
        <f>REPLACE(INDEX(GroupVertices[Group],MATCH("~"&amp;Edges37[[#This Row],[Vertex 1]],GroupVertices[Vertex],0)),1,1,"")</f>
        <v>3</v>
      </c>
      <c r="BU135" s="112" t="str">
        <f>REPLACE(INDEX(GroupVertices[Group],MATCH("~"&amp;Edges37[[#This Row],[Vertex 2]],GroupVertices[Vertex],0)),1,1,"")</f>
        <v>3</v>
      </c>
    </row>
    <row r="136" spans="1:73" ht="15">
      <c r="A136" s="59" t="s">
        <v>298</v>
      </c>
      <c r="B136" s="59" t="s">
        <v>318</v>
      </c>
      <c r="C136" s="60"/>
      <c r="D136" s="61"/>
      <c r="E136" s="62"/>
      <c r="F136" s="63"/>
      <c r="G136" s="60"/>
      <c r="H136" s="64"/>
      <c r="I136" s="65"/>
      <c r="J136" s="65"/>
      <c r="K136" s="30" t="s">
        <v>65</v>
      </c>
      <c r="L136" s="72">
        <v>221</v>
      </c>
      <c r="M1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6" s="67"/>
      <c r="O136" t="s">
        <v>482</v>
      </c>
      <c r="P136" s="73">
        <v>44573.11447916667</v>
      </c>
      <c r="Q136" t="s">
        <v>618</v>
      </c>
      <c r="R136">
        <v>0</v>
      </c>
      <c r="S136">
        <v>0</v>
      </c>
      <c r="T136">
        <v>0</v>
      </c>
      <c r="U136">
        <v>0</v>
      </c>
      <c r="W136" s="74" t="s">
        <v>682</v>
      </c>
      <c r="Z136" t="s">
        <v>318</v>
      </c>
      <c r="AC136" s="74" t="s">
        <v>787</v>
      </c>
      <c r="AD136" t="s">
        <v>794</v>
      </c>
      <c r="AE136" s="75" t="str">
        <f>HYPERLINK("https://twitter.com/hermin165/status/1481094794273525760")</f>
        <v>https://twitter.com/hermin165/status/1481094794273525760</v>
      </c>
      <c r="AF136" s="73">
        <v>44573.11447916667</v>
      </c>
      <c r="AG136" s="77">
        <v>44573</v>
      </c>
      <c r="AH136" s="74" t="s">
        <v>932</v>
      </c>
      <c r="AV136" s="75" t="str">
        <f>HYPERLINK("https://pbs.twimg.com/profile_images/1718130098682101760/x4AZLWQk_normal.jpg")</f>
        <v>https://pbs.twimg.com/profile_images/1718130098682101760/x4AZLWQk_normal.jpg</v>
      </c>
      <c r="AW136" s="74" t="s">
        <v>1153</v>
      </c>
      <c r="AX136" s="74" t="s">
        <v>1179</v>
      </c>
      <c r="AY136" s="74" t="s">
        <v>1334</v>
      </c>
      <c r="AZ136" s="74" t="s">
        <v>1179</v>
      </c>
      <c r="BA136" s="74" t="s">
        <v>1384</v>
      </c>
      <c r="BB136" s="74" t="s">
        <v>1384</v>
      </c>
      <c r="BC136" s="74" t="s">
        <v>1179</v>
      </c>
      <c r="BD136" s="74" t="s">
        <v>1454</v>
      </c>
      <c r="BJ136" s="44">
        <v>3</v>
      </c>
      <c r="BK136" s="45">
        <v>27.272727272727273</v>
      </c>
      <c r="BL136" s="44">
        <v>0</v>
      </c>
      <c r="BM136" s="45">
        <v>0</v>
      </c>
      <c r="BN136" s="44">
        <v>0</v>
      </c>
      <c r="BO136" s="45">
        <v>0</v>
      </c>
      <c r="BP136" s="44">
        <v>8</v>
      </c>
      <c r="BQ136" s="45">
        <v>72.72727272727273</v>
      </c>
      <c r="BR136" s="44">
        <v>11</v>
      </c>
      <c r="BS136">
        <v>1</v>
      </c>
      <c r="BT136" s="112" t="str">
        <f>REPLACE(INDEX(GroupVertices[Group],MATCH("~"&amp;Edges37[[#This Row],[Vertex 1]],GroupVertices[Vertex],0)),1,1,"")</f>
        <v>9</v>
      </c>
      <c r="BU136" s="112" t="str">
        <f>REPLACE(INDEX(GroupVertices[Group],MATCH("~"&amp;Edges37[[#This Row],[Vertex 2]],GroupVertices[Vertex],0)),1,1,"")</f>
        <v>9</v>
      </c>
    </row>
    <row r="137" spans="1:73" ht="15">
      <c r="A137" s="59" t="s">
        <v>299</v>
      </c>
      <c r="B137" s="59" t="s">
        <v>299</v>
      </c>
      <c r="C137" s="60"/>
      <c r="D137" s="61"/>
      <c r="E137" s="62"/>
      <c r="F137" s="63"/>
      <c r="G137" s="60"/>
      <c r="H137" s="64"/>
      <c r="I137" s="65"/>
      <c r="J137" s="65"/>
      <c r="K137" s="30" t="s">
        <v>65</v>
      </c>
      <c r="L137" s="72">
        <v>222</v>
      </c>
      <c r="M1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7" s="67"/>
      <c r="O137" t="s">
        <v>177</v>
      </c>
      <c r="P137" s="73">
        <v>44553.37466435185</v>
      </c>
      <c r="Q137" t="s">
        <v>619</v>
      </c>
      <c r="R137">
        <v>0</v>
      </c>
      <c r="S137">
        <v>2</v>
      </c>
      <c r="T137">
        <v>0</v>
      </c>
      <c r="U137">
        <v>0</v>
      </c>
      <c r="W137" s="74" t="s">
        <v>700</v>
      </c>
      <c r="AA137" t="s">
        <v>774</v>
      </c>
      <c r="AB137" t="s">
        <v>783</v>
      </c>
      <c r="AC137" s="74" t="s">
        <v>787</v>
      </c>
      <c r="AD137" t="s">
        <v>794</v>
      </c>
      <c r="AE137" s="75" t="str">
        <f>HYPERLINK("https://twitter.com/sys_cak/status/1473941328085934080")</f>
        <v>https://twitter.com/sys_cak/status/1473941328085934080</v>
      </c>
      <c r="AF137" s="73">
        <v>44553.37466435185</v>
      </c>
      <c r="AG137" s="77">
        <v>44553</v>
      </c>
      <c r="AH137" s="74" t="s">
        <v>933</v>
      </c>
      <c r="AI137" t="b">
        <v>0</v>
      </c>
      <c r="AQ137" t="s">
        <v>1012</v>
      </c>
      <c r="AV137" s="75" t="str">
        <f>HYPERLINK("https://pbs.twimg.com/media/FHR90l_UYAAak-a.jpg")</f>
        <v>https://pbs.twimg.com/media/FHR90l_UYAAak-a.jpg</v>
      </c>
      <c r="AW137" s="74" t="s">
        <v>1154</v>
      </c>
      <c r="AX137" s="74" t="s">
        <v>1154</v>
      </c>
      <c r="AZ137" s="74" t="s">
        <v>1384</v>
      </c>
      <c r="BA137" s="74" t="s">
        <v>1384</v>
      </c>
      <c r="BB137" s="74" t="s">
        <v>1384</v>
      </c>
      <c r="BC137" s="74" t="s">
        <v>1154</v>
      </c>
      <c r="BD137" s="74" t="s">
        <v>1455</v>
      </c>
      <c r="BJ137" s="44">
        <v>1</v>
      </c>
      <c r="BK137" s="45">
        <v>7.6923076923076925</v>
      </c>
      <c r="BL137" s="44">
        <v>0</v>
      </c>
      <c r="BM137" s="45">
        <v>0</v>
      </c>
      <c r="BN137" s="44">
        <v>0</v>
      </c>
      <c r="BO137" s="45">
        <v>0</v>
      </c>
      <c r="BP137" s="44">
        <v>12</v>
      </c>
      <c r="BQ137" s="45">
        <v>92.3076923076923</v>
      </c>
      <c r="BR137" s="44">
        <v>13</v>
      </c>
      <c r="BS137">
        <v>1</v>
      </c>
      <c r="BT137" s="112" t="str">
        <f>REPLACE(INDEX(GroupVertices[Group],MATCH("~"&amp;Edges37[[#This Row],[Vertex 1]],GroupVertices[Vertex],0)),1,1,"")</f>
        <v>3</v>
      </c>
      <c r="BU137" s="112" t="str">
        <f>REPLACE(INDEX(GroupVertices[Group],MATCH("~"&amp;Edges37[[#This Row],[Vertex 2]],GroupVertices[Vertex],0)),1,1,"")</f>
        <v>3</v>
      </c>
    </row>
    <row r="138" spans="1:73" ht="15">
      <c r="A138" s="59" t="s">
        <v>300</v>
      </c>
      <c r="B138" s="59" t="s">
        <v>300</v>
      </c>
      <c r="C138" s="60"/>
      <c r="D138" s="61"/>
      <c r="E138" s="62"/>
      <c r="F138" s="63"/>
      <c r="G138" s="60"/>
      <c r="H138" s="64"/>
      <c r="I138" s="65"/>
      <c r="J138" s="65"/>
      <c r="K138" s="30" t="s">
        <v>65</v>
      </c>
      <c r="L138" s="72">
        <v>223</v>
      </c>
      <c r="M1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8" s="67"/>
      <c r="O138" t="s">
        <v>177</v>
      </c>
      <c r="P138" s="73">
        <v>44575.068020833336</v>
      </c>
      <c r="Q138" t="s">
        <v>620</v>
      </c>
      <c r="R138">
        <v>0</v>
      </c>
      <c r="S138">
        <v>1</v>
      </c>
      <c r="T138">
        <v>0</v>
      </c>
      <c r="U138">
        <v>0</v>
      </c>
      <c r="W138" s="74" t="s">
        <v>682</v>
      </c>
      <c r="AA138" t="s">
        <v>775</v>
      </c>
      <c r="AB138" t="s">
        <v>784</v>
      </c>
      <c r="AC138" s="74" t="s">
        <v>787</v>
      </c>
      <c r="AD138" t="s">
        <v>794</v>
      </c>
      <c r="AE138" s="75" t="str">
        <f>HYPERLINK("https://twitter.com/livia_elly/status/1481802736819929091")</f>
        <v>https://twitter.com/livia_elly/status/1481802736819929091</v>
      </c>
      <c r="AF138" s="73">
        <v>44575.068020833336</v>
      </c>
      <c r="AG138" s="77">
        <v>44575</v>
      </c>
      <c r="AH138" s="74" t="s">
        <v>934</v>
      </c>
      <c r="AI138" t="b">
        <v>0</v>
      </c>
      <c r="AQ138" t="s">
        <v>1013</v>
      </c>
      <c r="AR138">
        <v>139978</v>
      </c>
      <c r="AV138" s="75" t="str">
        <f>HYPERLINK("https://pbs.twimg.com/ext_tw_video_thumb/1481802070365999105/pu/img/PhJQoDB0XdrjGeF7.jpg")</f>
        <v>https://pbs.twimg.com/ext_tw_video_thumb/1481802070365999105/pu/img/PhJQoDB0XdrjGeF7.jpg</v>
      </c>
      <c r="AW138" s="74" t="s">
        <v>1155</v>
      </c>
      <c r="AX138" s="74" t="s">
        <v>1155</v>
      </c>
      <c r="AZ138" s="74" t="s">
        <v>1384</v>
      </c>
      <c r="BA138" s="74" t="s">
        <v>1384</v>
      </c>
      <c r="BB138" s="74" t="s">
        <v>1384</v>
      </c>
      <c r="BC138" s="74" t="s">
        <v>1155</v>
      </c>
      <c r="BD138" s="74" t="s">
        <v>1456</v>
      </c>
      <c r="BJ138" s="44">
        <v>3</v>
      </c>
      <c r="BK138" s="45">
        <v>75</v>
      </c>
      <c r="BL138" s="44">
        <v>0</v>
      </c>
      <c r="BM138" s="45">
        <v>0</v>
      </c>
      <c r="BN138" s="44">
        <v>0</v>
      </c>
      <c r="BO138" s="45">
        <v>0</v>
      </c>
      <c r="BP138" s="44">
        <v>1</v>
      </c>
      <c r="BQ138" s="45">
        <v>25</v>
      </c>
      <c r="BR138" s="44">
        <v>4</v>
      </c>
      <c r="BS138">
        <v>1</v>
      </c>
      <c r="BT138" s="112" t="str">
        <f>REPLACE(INDEX(GroupVertices[Group],MATCH("~"&amp;Edges37[[#This Row],[Vertex 1]],GroupVertices[Vertex],0)),1,1,"")</f>
        <v>3</v>
      </c>
      <c r="BU138" s="112" t="str">
        <f>REPLACE(INDEX(GroupVertices[Group],MATCH("~"&amp;Edges37[[#This Row],[Vertex 2]],GroupVertices[Vertex],0)),1,1,"")</f>
        <v>3</v>
      </c>
    </row>
    <row r="139" spans="1:73" ht="15">
      <c r="A139" s="59" t="s">
        <v>301</v>
      </c>
      <c r="B139" s="59" t="s">
        <v>318</v>
      </c>
      <c r="C139" s="60"/>
      <c r="D139" s="61"/>
      <c r="E139" s="62"/>
      <c r="F139" s="63"/>
      <c r="G139" s="60"/>
      <c r="H139" s="64"/>
      <c r="I139" s="65"/>
      <c r="J139" s="65"/>
      <c r="K139" s="30" t="s">
        <v>65</v>
      </c>
      <c r="L139" s="72">
        <v>224</v>
      </c>
      <c r="M1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9" s="67"/>
      <c r="O139" t="s">
        <v>482</v>
      </c>
      <c r="P139" s="73">
        <v>44574.37425925926</v>
      </c>
      <c r="Q139" t="s">
        <v>621</v>
      </c>
      <c r="R139">
        <v>0</v>
      </c>
      <c r="S139">
        <v>0</v>
      </c>
      <c r="T139">
        <v>0</v>
      </c>
      <c r="U139">
        <v>0</v>
      </c>
      <c r="W139" s="74" t="s">
        <v>684</v>
      </c>
      <c r="Z139" t="s">
        <v>318</v>
      </c>
      <c r="AC139" s="74" t="s">
        <v>787</v>
      </c>
      <c r="AD139" t="s">
        <v>798</v>
      </c>
      <c r="AE139" s="75" t="str">
        <f>HYPERLINK("https://twitter.com/heindrahayyun1/status/1481551323418214403")</f>
        <v>https://twitter.com/heindrahayyun1/status/1481551323418214403</v>
      </c>
      <c r="AF139" s="73">
        <v>44574.37425925926</v>
      </c>
      <c r="AG139" s="77">
        <v>44574</v>
      </c>
      <c r="AH139" s="74" t="s">
        <v>935</v>
      </c>
      <c r="AV139" s="75" t="str">
        <f>HYPERLINK("https://pbs.twimg.com/profile_images/1536574414384312322/CnguST2y_normal.jpg")</f>
        <v>https://pbs.twimg.com/profile_images/1536574414384312322/CnguST2y_normal.jpg</v>
      </c>
      <c r="AW139" s="74" t="s">
        <v>1156</v>
      </c>
      <c r="AX139" s="74" t="s">
        <v>1179</v>
      </c>
      <c r="AY139" s="74" t="s">
        <v>1334</v>
      </c>
      <c r="AZ139" s="74" t="s">
        <v>1179</v>
      </c>
      <c r="BA139" s="74" t="s">
        <v>1384</v>
      </c>
      <c r="BB139" s="74" t="s">
        <v>1384</v>
      </c>
      <c r="BC139" s="74" t="s">
        <v>1179</v>
      </c>
      <c r="BD139" s="74" t="s">
        <v>1457</v>
      </c>
      <c r="BJ139" s="44">
        <v>0</v>
      </c>
      <c r="BK139" s="45">
        <v>0</v>
      </c>
      <c r="BL139" s="44">
        <v>0</v>
      </c>
      <c r="BM139" s="45">
        <v>0</v>
      </c>
      <c r="BN139" s="44">
        <v>0</v>
      </c>
      <c r="BO139" s="45">
        <v>0</v>
      </c>
      <c r="BP139" s="44">
        <v>3</v>
      </c>
      <c r="BQ139" s="45">
        <v>100</v>
      </c>
      <c r="BR139" s="44">
        <v>3</v>
      </c>
      <c r="BS139">
        <v>1</v>
      </c>
      <c r="BT139" s="112" t="str">
        <f>REPLACE(INDEX(GroupVertices[Group],MATCH("~"&amp;Edges37[[#This Row],[Vertex 1]],GroupVertices[Vertex],0)),1,1,"")</f>
        <v>9</v>
      </c>
      <c r="BU139" s="112" t="str">
        <f>REPLACE(INDEX(GroupVertices[Group],MATCH("~"&amp;Edges37[[#This Row],[Vertex 2]],GroupVertices[Vertex],0)),1,1,"")</f>
        <v>9</v>
      </c>
    </row>
    <row r="140" spans="1:73" ht="15">
      <c r="A140" s="59" t="s">
        <v>302</v>
      </c>
      <c r="B140" s="59" t="s">
        <v>341</v>
      </c>
      <c r="C140" s="60"/>
      <c r="D140" s="61"/>
      <c r="E140" s="62"/>
      <c r="F140" s="63"/>
      <c r="G140" s="60"/>
      <c r="H140" s="64"/>
      <c r="I140" s="65"/>
      <c r="J140" s="65"/>
      <c r="K140" s="30" t="s">
        <v>65</v>
      </c>
      <c r="L140" s="72">
        <v>225</v>
      </c>
      <c r="M1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0" s="67"/>
      <c r="O140" t="s">
        <v>482</v>
      </c>
      <c r="P140" s="73">
        <v>44572.51814814815</v>
      </c>
      <c r="Q140" t="s">
        <v>622</v>
      </c>
      <c r="R140">
        <v>0</v>
      </c>
      <c r="S140">
        <v>2</v>
      </c>
      <c r="T140">
        <v>0</v>
      </c>
      <c r="U140">
        <v>0</v>
      </c>
      <c r="W140" s="74" t="s">
        <v>682</v>
      </c>
      <c r="Z140" t="s">
        <v>341</v>
      </c>
      <c r="AC140" s="74" t="s">
        <v>787</v>
      </c>
      <c r="AD140" t="s">
        <v>794</v>
      </c>
      <c r="AE140" s="75" t="str">
        <f>HYPERLINK("https://twitter.com/mr_arogan_/status/1480878694906281987")</f>
        <v>https://twitter.com/mr_arogan_/status/1480878694906281987</v>
      </c>
      <c r="AF140" s="73">
        <v>44572.51814814815</v>
      </c>
      <c r="AG140" s="77">
        <v>44572</v>
      </c>
      <c r="AH140" s="74" t="s">
        <v>936</v>
      </c>
      <c r="AV140" s="75" t="str">
        <f>HYPERLINK("https://pbs.twimg.com/profile_images/1721856157793546240/V5-hrh7i_normal.jpg")</f>
        <v>https://pbs.twimg.com/profile_images/1721856157793546240/V5-hrh7i_normal.jpg</v>
      </c>
      <c r="AW140" s="74" t="s">
        <v>1157</v>
      </c>
      <c r="AX140" s="74" t="s">
        <v>1242</v>
      </c>
      <c r="AY140" s="74" t="s">
        <v>1328</v>
      </c>
      <c r="AZ140" s="74" t="s">
        <v>1242</v>
      </c>
      <c r="BA140" s="74" t="s">
        <v>1384</v>
      </c>
      <c r="BB140" s="74" t="s">
        <v>1384</v>
      </c>
      <c r="BC140" s="74" t="s">
        <v>1242</v>
      </c>
      <c r="BD140" s="74" t="s">
        <v>1458</v>
      </c>
      <c r="BJ140" s="44">
        <v>5</v>
      </c>
      <c r="BK140" s="45">
        <v>17.24137931034483</v>
      </c>
      <c r="BL140" s="44">
        <v>0</v>
      </c>
      <c r="BM140" s="45">
        <v>0</v>
      </c>
      <c r="BN140" s="44">
        <v>0</v>
      </c>
      <c r="BO140" s="45">
        <v>0</v>
      </c>
      <c r="BP140" s="44">
        <v>24</v>
      </c>
      <c r="BQ140" s="45">
        <v>82.75862068965517</v>
      </c>
      <c r="BR140" s="44">
        <v>29</v>
      </c>
      <c r="BS140">
        <v>1</v>
      </c>
      <c r="BT140" s="112" t="str">
        <f>REPLACE(INDEX(GroupVertices[Group],MATCH("~"&amp;Edges37[[#This Row],[Vertex 1]],GroupVertices[Vertex],0)),1,1,"")</f>
        <v>6</v>
      </c>
      <c r="BU140" s="112" t="str">
        <f>REPLACE(INDEX(GroupVertices[Group],MATCH("~"&amp;Edges37[[#This Row],[Vertex 2]],GroupVertices[Vertex],0)),1,1,"")</f>
        <v>6</v>
      </c>
    </row>
    <row r="141" spans="1:73" ht="15">
      <c r="A141" s="59" t="s">
        <v>303</v>
      </c>
      <c r="B141" s="59" t="s">
        <v>268</v>
      </c>
      <c r="C141" s="60"/>
      <c r="D141" s="61"/>
      <c r="E141" s="62"/>
      <c r="F141" s="63"/>
      <c r="G141" s="60"/>
      <c r="H141" s="64"/>
      <c r="I141" s="65"/>
      <c r="J141" s="65"/>
      <c r="K141" s="30" t="s">
        <v>65</v>
      </c>
      <c r="L141" s="72">
        <v>226</v>
      </c>
      <c r="M1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1" s="67"/>
      <c r="O141" t="s">
        <v>484</v>
      </c>
      <c r="P141" s="73">
        <v>44995.35592592593</v>
      </c>
      <c r="Q141" t="s">
        <v>623</v>
      </c>
      <c r="R141">
        <v>0</v>
      </c>
      <c r="S141">
        <v>1</v>
      </c>
      <c r="T141">
        <v>0</v>
      </c>
      <c r="U141">
        <v>0</v>
      </c>
      <c r="V141">
        <v>26</v>
      </c>
      <c r="AC141" s="74" t="s">
        <v>787</v>
      </c>
      <c r="AD141" t="s">
        <v>794</v>
      </c>
      <c r="AE141" s="75" t="str">
        <f>HYPERLINK("https://twitter.com/masyarakat2021/status/1634109971133792256")</f>
        <v>https://twitter.com/masyarakat2021/status/1634109971133792256</v>
      </c>
      <c r="AF141" s="73">
        <v>44995.35592592593</v>
      </c>
      <c r="AG141" s="77">
        <v>44995</v>
      </c>
      <c r="AH141" s="74" t="s">
        <v>937</v>
      </c>
      <c r="AV141" s="75" t="str">
        <f>HYPERLINK("https://pbs.twimg.com/profile_images/1344974135525478400/AAKdYcGp_normal.jpg")</f>
        <v>https://pbs.twimg.com/profile_images/1344974135525478400/AAKdYcGp_normal.jpg</v>
      </c>
      <c r="AW141" s="74" t="s">
        <v>1158</v>
      </c>
      <c r="AX141" s="74" t="s">
        <v>1158</v>
      </c>
      <c r="AZ141" s="74" t="s">
        <v>1384</v>
      </c>
      <c r="BA141" s="74" t="s">
        <v>1168</v>
      </c>
      <c r="BB141" s="74" t="s">
        <v>1384</v>
      </c>
      <c r="BC141" s="74" t="s">
        <v>1168</v>
      </c>
      <c r="BD141" s="74" t="s">
        <v>1459</v>
      </c>
      <c r="BJ141" s="44">
        <v>3</v>
      </c>
      <c r="BK141" s="45">
        <v>100</v>
      </c>
      <c r="BL141" s="44">
        <v>0</v>
      </c>
      <c r="BM141" s="45">
        <v>0</v>
      </c>
      <c r="BN141" s="44">
        <v>0</v>
      </c>
      <c r="BO141" s="45">
        <v>0</v>
      </c>
      <c r="BP141" s="44">
        <v>0</v>
      </c>
      <c r="BQ141" s="45">
        <v>0</v>
      </c>
      <c r="BR141" s="44">
        <v>3</v>
      </c>
      <c r="BS141">
        <v>1</v>
      </c>
      <c r="BT141" s="112" t="str">
        <f>REPLACE(INDEX(GroupVertices[Group],MATCH("~"&amp;Edges37[[#This Row],[Vertex 1]],GroupVertices[Vertex],0)),1,1,"")</f>
        <v>13</v>
      </c>
      <c r="BU141" s="112" t="str">
        <f>REPLACE(INDEX(GroupVertices[Group],MATCH("~"&amp;Edges37[[#This Row],[Vertex 2]],GroupVertices[Vertex],0)),1,1,"")</f>
        <v>13</v>
      </c>
    </row>
    <row r="142" spans="1:73" ht="15">
      <c r="A142" s="59" t="s">
        <v>304</v>
      </c>
      <c r="B142" s="59" t="s">
        <v>318</v>
      </c>
      <c r="C142" s="60"/>
      <c r="D142" s="61"/>
      <c r="E142" s="62"/>
      <c r="F142" s="63"/>
      <c r="G142" s="60"/>
      <c r="H142" s="64"/>
      <c r="I142" s="65"/>
      <c r="J142" s="65"/>
      <c r="K142" s="30" t="s">
        <v>65</v>
      </c>
      <c r="L142" s="72">
        <v>227</v>
      </c>
      <c r="M1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2" s="67"/>
      <c r="O142" t="s">
        <v>482</v>
      </c>
      <c r="P142" s="73">
        <v>44573.10020833334</v>
      </c>
      <c r="Q142" t="s">
        <v>624</v>
      </c>
      <c r="R142">
        <v>0</v>
      </c>
      <c r="S142">
        <v>1</v>
      </c>
      <c r="T142">
        <v>0</v>
      </c>
      <c r="U142">
        <v>0</v>
      </c>
      <c r="W142" s="74" t="s">
        <v>682</v>
      </c>
      <c r="Z142" t="s">
        <v>318</v>
      </c>
      <c r="AC142" s="74" t="s">
        <v>787</v>
      </c>
      <c r="AD142" t="s">
        <v>794</v>
      </c>
      <c r="AE142" s="75" t="str">
        <f>HYPERLINK("https://twitter.com/mdariusdah/status/1481089622889611264")</f>
        <v>https://twitter.com/mdariusdah/status/1481089622889611264</v>
      </c>
      <c r="AF142" s="73">
        <v>44573.10020833334</v>
      </c>
      <c r="AG142" s="77">
        <v>44573</v>
      </c>
      <c r="AH142" s="74" t="s">
        <v>938</v>
      </c>
      <c r="AV142" s="75" t="str">
        <f>HYPERLINK("https://pbs.twimg.com/profile_images/1541233536983638016/LYPDbJJW_normal.jpg")</f>
        <v>https://pbs.twimg.com/profile_images/1541233536983638016/LYPDbJJW_normal.jpg</v>
      </c>
      <c r="AW142" s="74" t="s">
        <v>1159</v>
      </c>
      <c r="AX142" s="74" t="s">
        <v>1179</v>
      </c>
      <c r="AY142" s="74" t="s">
        <v>1334</v>
      </c>
      <c r="AZ142" s="74" t="s">
        <v>1179</v>
      </c>
      <c r="BA142" s="74" t="s">
        <v>1384</v>
      </c>
      <c r="BB142" s="74" t="s">
        <v>1384</v>
      </c>
      <c r="BC142" s="74" t="s">
        <v>1179</v>
      </c>
      <c r="BD142" s="74" t="s">
        <v>1460</v>
      </c>
      <c r="BJ142" s="44">
        <v>0</v>
      </c>
      <c r="BK142" s="45">
        <v>0</v>
      </c>
      <c r="BL142" s="44">
        <v>0</v>
      </c>
      <c r="BM142" s="45">
        <v>0</v>
      </c>
      <c r="BN142" s="44">
        <v>0</v>
      </c>
      <c r="BO142" s="45">
        <v>0</v>
      </c>
      <c r="BP142" s="44">
        <v>5</v>
      </c>
      <c r="BQ142" s="45">
        <v>100</v>
      </c>
      <c r="BR142" s="44">
        <v>5</v>
      </c>
      <c r="BS142">
        <v>1</v>
      </c>
      <c r="BT142" s="112" t="str">
        <f>REPLACE(INDEX(GroupVertices[Group],MATCH("~"&amp;Edges37[[#This Row],[Vertex 1]],GroupVertices[Vertex],0)),1,1,"")</f>
        <v>9</v>
      </c>
      <c r="BU142" s="112" t="str">
        <f>REPLACE(INDEX(GroupVertices[Group],MATCH("~"&amp;Edges37[[#This Row],[Vertex 2]],GroupVertices[Vertex],0)),1,1,"")</f>
        <v>9</v>
      </c>
    </row>
    <row r="143" spans="1:73" ht="15">
      <c r="A143" s="59" t="s">
        <v>305</v>
      </c>
      <c r="B143" s="59" t="s">
        <v>305</v>
      </c>
      <c r="C143" s="60"/>
      <c r="D143" s="61"/>
      <c r="E143" s="62"/>
      <c r="F143" s="63"/>
      <c r="G143" s="60"/>
      <c r="H143" s="64"/>
      <c r="I143" s="65"/>
      <c r="J143" s="65"/>
      <c r="K143" s="30" t="s">
        <v>65</v>
      </c>
      <c r="L143" s="72">
        <v>228</v>
      </c>
      <c r="M1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3" s="67"/>
      <c r="O143" t="s">
        <v>177</v>
      </c>
      <c r="P143" s="73">
        <v>44881.46880787037</v>
      </c>
      <c r="Q143" t="s">
        <v>625</v>
      </c>
      <c r="R143">
        <v>6</v>
      </c>
      <c r="S143">
        <v>34</v>
      </c>
      <c r="T143">
        <v>3</v>
      </c>
      <c r="U143">
        <v>2</v>
      </c>
      <c r="X143" s="75" t="str">
        <f>HYPERLINK("http://dlvr.it/ScsHSc")</f>
        <v>http://dlvr.it/ScsHSc</v>
      </c>
      <c r="Y143" t="s">
        <v>710</v>
      </c>
      <c r="AA143" t="s">
        <v>776</v>
      </c>
      <c r="AB143" t="s">
        <v>783</v>
      </c>
      <c r="AC143" s="74" t="s">
        <v>710</v>
      </c>
      <c r="AD143" t="s">
        <v>794</v>
      </c>
      <c r="AE143" s="75" t="str">
        <f>HYPERLINK("https://twitter.com/news_jubi/status/1592838663347769344")</f>
        <v>https://twitter.com/news_jubi/status/1592838663347769344</v>
      </c>
      <c r="AF143" s="73">
        <v>44881.46880787037</v>
      </c>
      <c r="AG143" s="77">
        <v>44881</v>
      </c>
      <c r="AH143" s="74" t="s">
        <v>939</v>
      </c>
      <c r="AI143" t="b">
        <v>0</v>
      </c>
      <c r="AQ143" t="s">
        <v>1014</v>
      </c>
      <c r="AV143" s="75" t="str">
        <f>HYPERLINK("https://pbs.twimg.com/media/FhrmUkaaUAAbsi8.jpg")</f>
        <v>https://pbs.twimg.com/media/FhrmUkaaUAAbsi8.jpg</v>
      </c>
      <c r="AW143" s="74" t="s">
        <v>1160</v>
      </c>
      <c r="AX143" s="74" t="s">
        <v>1160</v>
      </c>
      <c r="AZ143" s="74" t="s">
        <v>1384</v>
      </c>
      <c r="BA143" s="74" t="s">
        <v>1384</v>
      </c>
      <c r="BB143" s="74" t="s">
        <v>1384</v>
      </c>
      <c r="BC143" s="74" t="s">
        <v>1160</v>
      </c>
      <c r="BD143">
        <v>1023114824</v>
      </c>
      <c r="BJ143" s="44">
        <v>0</v>
      </c>
      <c r="BK143" s="45">
        <v>0</v>
      </c>
      <c r="BL143" s="44">
        <v>0</v>
      </c>
      <c r="BM143" s="45">
        <v>0</v>
      </c>
      <c r="BN143" s="44">
        <v>0</v>
      </c>
      <c r="BO143" s="45">
        <v>0</v>
      </c>
      <c r="BP143" s="44">
        <v>14</v>
      </c>
      <c r="BQ143" s="45">
        <v>100</v>
      </c>
      <c r="BR143" s="44">
        <v>14</v>
      </c>
      <c r="BS143">
        <v>1</v>
      </c>
      <c r="BT143" s="112" t="str">
        <f>REPLACE(INDEX(GroupVertices[Group],MATCH("~"&amp;Edges37[[#This Row],[Vertex 1]],GroupVertices[Vertex],0)),1,1,"")</f>
        <v>40</v>
      </c>
      <c r="BU143" s="112" t="str">
        <f>REPLACE(INDEX(GroupVertices[Group],MATCH("~"&amp;Edges37[[#This Row],[Vertex 2]],GroupVertices[Vertex],0)),1,1,"")</f>
        <v>40</v>
      </c>
    </row>
    <row r="144" spans="1:73" ht="15">
      <c r="A144" s="59" t="s">
        <v>306</v>
      </c>
      <c r="B144" s="59" t="s">
        <v>305</v>
      </c>
      <c r="C144" s="60"/>
      <c r="D144" s="61"/>
      <c r="E144" s="62"/>
      <c r="F144" s="63"/>
      <c r="G144" s="60"/>
      <c r="H144" s="64"/>
      <c r="I144" s="65"/>
      <c r="J144" s="65"/>
      <c r="K144" s="30" t="s">
        <v>65</v>
      </c>
      <c r="L144" s="72">
        <v>229</v>
      </c>
      <c r="M1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4" s="67"/>
      <c r="O144" t="s">
        <v>484</v>
      </c>
      <c r="P144" s="73">
        <v>44881.67859953704</v>
      </c>
      <c r="Q144" t="s">
        <v>626</v>
      </c>
      <c r="R144">
        <v>0</v>
      </c>
      <c r="S144">
        <v>0</v>
      </c>
      <c r="T144">
        <v>0</v>
      </c>
      <c r="U144">
        <v>0</v>
      </c>
      <c r="AC144" s="74" t="s">
        <v>787</v>
      </c>
      <c r="AD144" t="s">
        <v>794</v>
      </c>
      <c r="AE144" s="75" t="str">
        <f>HYPERLINK("https://twitter.com/rudyhar51284265/status/1592914689058799616")</f>
        <v>https://twitter.com/rudyhar51284265/status/1592914689058799616</v>
      </c>
      <c r="AF144" s="73">
        <v>44881.67859953704</v>
      </c>
      <c r="AG144" s="77">
        <v>44881</v>
      </c>
      <c r="AH144" s="74" t="s">
        <v>940</v>
      </c>
      <c r="AV144" s="75" t="str">
        <f>HYPERLINK("https://pbs.twimg.com/profile_images/1569689395531481089/461iSbn1_normal.jpg")</f>
        <v>https://pbs.twimg.com/profile_images/1569689395531481089/461iSbn1_normal.jpg</v>
      </c>
      <c r="AW144" s="74" t="s">
        <v>1161</v>
      </c>
      <c r="AX144" s="74" t="s">
        <v>1161</v>
      </c>
      <c r="AZ144" s="74" t="s">
        <v>1384</v>
      </c>
      <c r="BA144" s="74" t="s">
        <v>1160</v>
      </c>
      <c r="BB144" s="74" t="s">
        <v>1384</v>
      </c>
      <c r="BC144" s="74" t="s">
        <v>1160</v>
      </c>
      <c r="BD144" s="74" t="s">
        <v>1461</v>
      </c>
      <c r="BJ144" s="44">
        <v>7</v>
      </c>
      <c r="BK144" s="45">
        <v>18.42105263157895</v>
      </c>
      <c r="BL144" s="44">
        <v>0</v>
      </c>
      <c r="BM144" s="45">
        <v>0</v>
      </c>
      <c r="BN144" s="44">
        <v>0</v>
      </c>
      <c r="BO144" s="45">
        <v>0</v>
      </c>
      <c r="BP144" s="44">
        <v>31</v>
      </c>
      <c r="BQ144" s="45">
        <v>81.57894736842105</v>
      </c>
      <c r="BR144" s="44">
        <v>38</v>
      </c>
      <c r="BS144">
        <v>1</v>
      </c>
      <c r="BT144" s="112" t="str">
        <f>REPLACE(INDEX(GroupVertices[Group],MATCH("~"&amp;Edges37[[#This Row],[Vertex 1]],GroupVertices[Vertex],0)),1,1,"")</f>
        <v>40</v>
      </c>
      <c r="BU144" s="112" t="str">
        <f>REPLACE(INDEX(GroupVertices[Group],MATCH("~"&amp;Edges37[[#This Row],[Vertex 2]],GroupVertices[Vertex],0)),1,1,"")</f>
        <v>40</v>
      </c>
    </row>
    <row r="145" spans="1:73" ht="15">
      <c r="A145" s="59" t="s">
        <v>307</v>
      </c>
      <c r="B145" s="59" t="s">
        <v>467</v>
      </c>
      <c r="C145" s="60"/>
      <c r="D145" s="61"/>
      <c r="E145" s="62"/>
      <c r="F145" s="63"/>
      <c r="G145" s="60"/>
      <c r="H145" s="64"/>
      <c r="I145" s="65"/>
      <c r="J145" s="65"/>
      <c r="K145" s="30" t="s">
        <v>65</v>
      </c>
      <c r="L145" s="72">
        <v>230</v>
      </c>
      <c r="M1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5" s="67"/>
      <c r="O145" t="s">
        <v>482</v>
      </c>
      <c r="P145" s="73">
        <v>44562.64443287037</v>
      </c>
      <c r="Q145" t="s">
        <v>627</v>
      </c>
      <c r="R145">
        <v>0</v>
      </c>
      <c r="S145">
        <v>0</v>
      </c>
      <c r="T145">
        <v>0</v>
      </c>
      <c r="U145">
        <v>0</v>
      </c>
      <c r="Z145" t="s">
        <v>467</v>
      </c>
      <c r="AC145" s="74" t="s">
        <v>787</v>
      </c>
      <c r="AD145" t="s">
        <v>799</v>
      </c>
      <c r="AE145" s="75" t="str">
        <f>HYPERLINK("https://twitter.com/yparkjihoon/status/1477300579139395584")</f>
        <v>https://twitter.com/yparkjihoon/status/1477300579139395584</v>
      </c>
      <c r="AF145" s="73">
        <v>44562.64443287037</v>
      </c>
      <c r="AG145" s="77">
        <v>44562</v>
      </c>
      <c r="AH145" s="74" t="s">
        <v>941</v>
      </c>
      <c r="AV145" s="75" t="str">
        <f>HYPERLINK("https://pbs.twimg.com/profile_images/1542792321523015680/WzFNeRy2_normal.jpg")</f>
        <v>https://pbs.twimg.com/profile_images/1542792321523015680/WzFNeRy2_normal.jpg</v>
      </c>
      <c r="AW145" s="74" t="s">
        <v>1162</v>
      </c>
      <c r="AX145" s="74" t="s">
        <v>1305</v>
      </c>
      <c r="AY145" s="74" t="s">
        <v>1377</v>
      </c>
      <c r="AZ145" s="74" t="s">
        <v>1305</v>
      </c>
      <c r="BA145" s="74" t="s">
        <v>1384</v>
      </c>
      <c r="BB145" s="74" t="s">
        <v>1384</v>
      </c>
      <c r="BC145" s="74" t="s">
        <v>1305</v>
      </c>
      <c r="BD145" s="74" t="s">
        <v>1462</v>
      </c>
      <c r="BJ145" s="44">
        <v>3</v>
      </c>
      <c r="BK145" s="45">
        <v>50</v>
      </c>
      <c r="BL145" s="44">
        <v>0</v>
      </c>
      <c r="BM145" s="45">
        <v>0</v>
      </c>
      <c r="BN145" s="44">
        <v>0</v>
      </c>
      <c r="BO145" s="45">
        <v>0</v>
      </c>
      <c r="BP145" s="44">
        <v>3</v>
      </c>
      <c r="BQ145" s="45">
        <v>50</v>
      </c>
      <c r="BR145" s="44">
        <v>6</v>
      </c>
      <c r="BS145">
        <v>1</v>
      </c>
      <c r="BT145" s="112" t="str">
        <f>REPLACE(INDEX(GroupVertices[Group],MATCH("~"&amp;Edges37[[#This Row],[Vertex 1]],GroupVertices[Vertex],0)),1,1,"")</f>
        <v>31</v>
      </c>
      <c r="BU145" s="112" t="str">
        <f>REPLACE(INDEX(GroupVertices[Group],MATCH("~"&amp;Edges37[[#This Row],[Vertex 2]],GroupVertices[Vertex],0)),1,1,"")</f>
        <v>31</v>
      </c>
    </row>
    <row r="146" spans="1:73" ht="15">
      <c r="A146" s="59" t="s">
        <v>308</v>
      </c>
      <c r="B146" s="59" t="s">
        <v>468</v>
      </c>
      <c r="C146" s="60"/>
      <c r="D146" s="61"/>
      <c r="E146" s="62"/>
      <c r="F146" s="63"/>
      <c r="G146" s="60"/>
      <c r="H146" s="64"/>
      <c r="I146" s="65"/>
      <c r="J146" s="65"/>
      <c r="K146" s="30" t="s">
        <v>65</v>
      </c>
      <c r="L146" s="72">
        <v>231</v>
      </c>
      <c r="M1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6" s="67"/>
      <c r="O146" t="s">
        <v>482</v>
      </c>
      <c r="P146" s="73">
        <v>45087.967256944445</v>
      </c>
      <c r="Q146" t="s">
        <v>628</v>
      </c>
      <c r="R146">
        <v>0</v>
      </c>
      <c r="S146">
        <v>1</v>
      </c>
      <c r="T146">
        <v>1</v>
      </c>
      <c r="U146">
        <v>0</v>
      </c>
      <c r="V146">
        <v>16</v>
      </c>
      <c r="W146" s="74" t="s">
        <v>682</v>
      </c>
      <c r="Z146" t="s">
        <v>468</v>
      </c>
      <c r="AC146" s="74" t="s">
        <v>787</v>
      </c>
      <c r="AD146" t="s">
        <v>794</v>
      </c>
      <c r="AE146" s="75" t="str">
        <f>HYPERLINK("https://twitter.com/rahmaniarbaftim/status/1667671195565838338")</f>
        <v>https://twitter.com/rahmaniarbaftim/status/1667671195565838338</v>
      </c>
      <c r="AF146" s="73">
        <v>45087.967256944445</v>
      </c>
      <c r="AG146" s="77">
        <v>45087</v>
      </c>
      <c r="AH146" s="74" t="s">
        <v>942</v>
      </c>
      <c r="AV146" s="75" t="str">
        <f>HYPERLINK("https://pbs.twimg.com/profile_images/1718760004688416768/hT2eS6-3_normal.jpg")</f>
        <v>https://pbs.twimg.com/profile_images/1718760004688416768/hT2eS6-3_normal.jpg</v>
      </c>
      <c r="AW146" s="74" t="s">
        <v>1163</v>
      </c>
      <c r="AX146" s="74" t="s">
        <v>1306</v>
      </c>
      <c r="AY146" s="74" t="s">
        <v>1378</v>
      </c>
      <c r="AZ146" s="74" t="s">
        <v>1306</v>
      </c>
      <c r="BA146" s="74" t="s">
        <v>1384</v>
      </c>
      <c r="BB146" s="74" t="s">
        <v>1384</v>
      </c>
      <c r="BC146" s="74" t="s">
        <v>1306</v>
      </c>
      <c r="BD146">
        <v>852327811</v>
      </c>
      <c r="BJ146" s="44">
        <v>1</v>
      </c>
      <c r="BK146" s="45">
        <v>4.3478260869565215</v>
      </c>
      <c r="BL146" s="44">
        <v>0</v>
      </c>
      <c r="BM146" s="45">
        <v>0</v>
      </c>
      <c r="BN146" s="44">
        <v>0</v>
      </c>
      <c r="BO146" s="45">
        <v>0</v>
      </c>
      <c r="BP146" s="44">
        <v>22</v>
      </c>
      <c r="BQ146" s="45">
        <v>95.65217391304348</v>
      </c>
      <c r="BR146" s="44">
        <v>23</v>
      </c>
      <c r="BS146">
        <v>1</v>
      </c>
      <c r="BT146" s="112" t="str">
        <f>REPLACE(INDEX(GroupVertices[Group],MATCH("~"&amp;Edges37[[#This Row],[Vertex 1]],GroupVertices[Vertex],0)),1,1,"")</f>
        <v>32</v>
      </c>
      <c r="BU146" s="112" t="str">
        <f>REPLACE(INDEX(GroupVertices[Group],MATCH("~"&amp;Edges37[[#This Row],[Vertex 2]],GroupVertices[Vertex],0)),1,1,"")</f>
        <v>32</v>
      </c>
    </row>
    <row r="147" spans="1:73" ht="15">
      <c r="A147" s="59" t="s">
        <v>309</v>
      </c>
      <c r="B147" s="59" t="s">
        <v>341</v>
      </c>
      <c r="C147" s="60"/>
      <c r="D147" s="61"/>
      <c r="E147" s="62"/>
      <c r="F147" s="63"/>
      <c r="G147" s="60"/>
      <c r="H147" s="64"/>
      <c r="I147" s="65"/>
      <c r="J147" s="65"/>
      <c r="K147" s="30" t="s">
        <v>65</v>
      </c>
      <c r="L147" s="72">
        <v>232</v>
      </c>
      <c r="M1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7" s="67"/>
      <c r="O147" t="s">
        <v>482</v>
      </c>
      <c r="P147" s="73">
        <v>44572.167962962965</v>
      </c>
      <c r="Q147" t="s">
        <v>629</v>
      </c>
      <c r="R147">
        <v>0</v>
      </c>
      <c r="S147">
        <v>0</v>
      </c>
      <c r="T147">
        <v>0</v>
      </c>
      <c r="U147">
        <v>0</v>
      </c>
      <c r="Z147" t="s">
        <v>341</v>
      </c>
      <c r="AC147" s="74" t="s">
        <v>787</v>
      </c>
      <c r="AD147" t="s">
        <v>794</v>
      </c>
      <c r="AE147" s="75" t="str">
        <f>HYPERLINK("https://twitter.com/rizki_reza24/status/1480751791423700993")</f>
        <v>https://twitter.com/rizki_reza24/status/1480751791423700993</v>
      </c>
      <c r="AF147" s="73">
        <v>44572.167962962965</v>
      </c>
      <c r="AG147" s="77">
        <v>44572</v>
      </c>
      <c r="AH147" s="74" t="s">
        <v>943</v>
      </c>
      <c r="AV147" s="75" t="str">
        <f>HYPERLINK("https://pbs.twimg.com/profile_images/1513181257966157824/sJfpKpZY_normal.jpg")</f>
        <v>https://pbs.twimg.com/profile_images/1513181257966157824/sJfpKpZY_normal.jpg</v>
      </c>
      <c r="AW147" s="74" t="s">
        <v>1164</v>
      </c>
      <c r="AX147" s="74" t="s">
        <v>1242</v>
      </c>
      <c r="AY147" s="74" t="s">
        <v>1328</v>
      </c>
      <c r="AZ147" s="74" t="s">
        <v>1242</v>
      </c>
      <c r="BA147" s="74" t="s">
        <v>1384</v>
      </c>
      <c r="BB147" s="74" t="s">
        <v>1384</v>
      </c>
      <c r="BC147" s="74" t="s">
        <v>1242</v>
      </c>
      <c r="BD147" s="74" t="s">
        <v>1463</v>
      </c>
      <c r="BJ147" s="44">
        <v>5</v>
      </c>
      <c r="BK147" s="45">
        <v>71.42857142857143</v>
      </c>
      <c r="BL147" s="44">
        <v>0</v>
      </c>
      <c r="BM147" s="45">
        <v>0</v>
      </c>
      <c r="BN147" s="44">
        <v>0</v>
      </c>
      <c r="BO147" s="45">
        <v>0</v>
      </c>
      <c r="BP147" s="44">
        <v>2</v>
      </c>
      <c r="BQ147" s="45">
        <v>28.571428571428573</v>
      </c>
      <c r="BR147" s="44">
        <v>7</v>
      </c>
      <c r="BS147">
        <v>1</v>
      </c>
      <c r="BT147" s="112" t="str">
        <f>REPLACE(INDEX(GroupVertices[Group],MATCH("~"&amp;Edges37[[#This Row],[Vertex 1]],GroupVertices[Vertex],0)),1,1,"")</f>
        <v>6</v>
      </c>
      <c r="BU147" s="112" t="str">
        <f>REPLACE(INDEX(GroupVertices[Group],MATCH("~"&amp;Edges37[[#This Row],[Vertex 2]],GroupVertices[Vertex],0)),1,1,"")</f>
        <v>6</v>
      </c>
    </row>
    <row r="148" spans="1:73" ht="15">
      <c r="A148" s="59" t="s">
        <v>310</v>
      </c>
      <c r="B148" s="59" t="s">
        <v>310</v>
      </c>
      <c r="C148" s="60"/>
      <c r="D148" s="61"/>
      <c r="E148" s="62"/>
      <c r="F148" s="63"/>
      <c r="G148" s="60"/>
      <c r="H148" s="64"/>
      <c r="I148" s="65"/>
      <c r="J148" s="65"/>
      <c r="K148" s="30" t="s">
        <v>65</v>
      </c>
      <c r="L148" s="72">
        <v>233</v>
      </c>
      <c r="M1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8" s="67"/>
      <c r="O148" t="s">
        <v>177</v>
      </c>
      <c r="P148" s="73">
        <v>44547.16931712963</v>
      </c>
      <c r="Q148" t="s">
        <v>630</v>
      </c>
      <c r="R148">
        <v>0</v>
      </c>
      <c r="S148">
        <v>0</v>
      </c>
      <c r="T148">
        <v>0</v>
      </c>
      <c r="U148">
        <v>0</v>
      </c>
      <c r="W148" s="74" t="s">
        <v>682</v>
      </c>
      <c r="AC148" s="74" t="s">
        <v>789</v>
      </c>
      <c r="AD148" t="s">
        <v>794</v>
      </c>
      <c r="AE148" s="75" t="str">
        <f>HYPERLINK("https://twitter.com/imronbiz/status/1471692585999626243")</f>
        <v>https://twitter.com/imronbiz/status/1471692585999626243</v>
      </c>
      <c r="AF148" s="73">
        <v>44547.16931712963</v>
      </c>
      <c r="AG148" s="77">
        <v>44547</v>
      </c>
      <c r="AH148" s="74" t="s">
        <v>944</v>
      </c>
      <c r="AJ148" t="s">
        <v>995</v>
      </c>
      <c r="AK148" t="s">
        <v>996</v>
      </c>
      <c r="AL148" t="s">
        <v>12</v>
      </c>
      <c r="AM148" t="s">
        <v>997</v>
      </c>
      <c r="AN148" t="s">
        <v>998</v>
      </c>
      <c r="AO148" t="s">
        <v>999</v>
      </c>
      <c r="AP148" t="s">
        <v>1000</v>
      </c>
      <c r="AV148" s="75" t="str">
        <f>HYPERLINK("https://pbs.twimg.com/profile_images/1486594995146477568/gI2fZPj7_normal.jpg")</f>
        <v>https://pbs.twimg.com/profile_images/1486594995146477568/gI2fZPj7_normal.jpg</v>
      </c>
      <c r="AW148" s="74" t="s">
        <v>1165</v>
      </c>
      <c r="AX148" s="74" t="s">
        <v>1165</v>
      </c>
      <c r="AZ148" s="74" t="s">
        <v>1384</v>
      </c>
      <c r="BA148" s="74" t="s">
        <v>1384</v>
      </c>
      <c r="BB148" s="74" t="s">
        <v>1384</v>
      </c>
      <c r="BC148" s="74" t="s">
        <v>1165</v>
      </c>
      <c r="BD148">
        <v>14951080</v>
      </c>
      <c r="BJ148" s="44">
        <v>1</v>
      </c>
      <c r="BK148" s="45">
        <v>7.142857142857143</v>
      </c>
      <c r="BL148" s="44">
        <v>1</v>
      </c>
      <c r="BM148" s="45">
        <v>7.142857142857143</v>
      </c>
      <c r="BN148" s="44">
        <v>0</v>
      </c>
      <c r="BO148" s="45">
        <v>0</v>
      </c>
      <c r="BP148" s="44">
        <v>12</v>
      </c>
      <c r="BQ148" s="45">
        <v>85.71428571428571</v>
      </c>
      <c r="BR148" s="44">
        <v>14</v>
      </c>
      <c r="BS148">
        <v>1</v>
      </c>
      <c r="BT148" s="112" t="str">
        <f>REPLACE(INDEX(GroupVertices[Group],MATCH("~"&amp;Edges37[[#This Row],[Vertex 1]],GroupVertices[Vertex],0)),1,1,"")</f>
        <v>3</v>
      </c>
      <c r="BU148" s="112" t="str">
        <f>REPLACE(INDEX(GroupVertices[Group],MATCH("~"&amp;Edges37[[#This Row],[Vertex 2]],GroupVertices[Vertex],0)),1,1,"")</f>
        <v>3</v>
      </c>
    </row>
    <row r="149" spans="1:73" ht="15">
      <c r="A149" s="59" t="s">
        <v>311</v>
      </c>
      <c r="B149" s="59" t="s">
        <v>469</v>
      </c>
      <c r="C149" s="60"/>
      <c r="D149" s="61"/>
      <c r="E149" s="62"/>
      <c r="F149" s="63"/>
      <c r="G149" s="60"/>
      <c r="H149" s="64"/>
      <c r="I149" s="65"/>
      <c r="J149" s="65"/>
      <c r="K149" s="30" t="s">
        <v>65</v>
      </c>
      <c r="L149" s="72">
        <v>234</v>
      </c>
      <c r="M1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9" s="67"/>
      <c r="O149" t="s">
        <v>482</v>
      </c>
      <c r="P149" s="73">
        <v>44717.44642361111</v>
      </c>
      <c r="Q149" t="s">
        <v>631</v>
      </c>
      <c r="R149">
        <v>0</v>
      </c>
      <c r="S149">
        <v>0</v>
      </c>
      <c r="T149">
        <v>0</v>
      </c>
      <c r="U149">
        <v>0</v>
      </c>
      <c r="Z149" t="s">
        <v>469</v>
      </c>
      <c r="AC149" s="74" t="s">
        <v>786</v>
      </c>
      <c r="AD149" t="s">
        <v>794</v>
      </c>
      <c r="AE149" s="75" t="str">
        <f>HYPERLINK("https://twitter.com/anjariuss/status/1533398940233523200")</f>
        <v>https://twitter.com/anjariuss/status/1533398940233523200</v>
      </c>
      <c r="AF149" s="73">
        <v>44717.44642361111</v>
      </c>
      <c r="AG149" s="77">
        <v>44717</v>
      </c>
      <c r="AH149" s="74" t="s">
        <v>945</v>
      </c>
      <c r="AV149" s="75" t="str">
        <f>HYPERLINK("https://pbs.twimg.com/profile_images/1575753227819454464/R35AW501_normal.jpg")</f>
        <v>https://pbs.twimg.com/profile_images/1575753227819454464/R35AW501_normal.jpg</v>
      </c>
      <c r="AW149" s="74" t="s">
        <v>1166</v>
      </c>
      <c r="AX149" s="74" t="s">
        <v>1307</v>
      </c>
      <c r="AY149" s="74" t="s">
        <v>1379</v>
      </c>
      <c r="AZ149" s="74" t="s">
        <v>1307</v>
      </c>
      <c r="BA149" s="74" t="s">
        <v>1384</v>
      </c>
      <c r="BB149" s="74" t="s">
        <v>1384</v>
      </c>
      <c r="BC149" s="74" t="s">
        <v>1307</v>
      </c>
      <c r="BD149" s="74" t="s">
        <v>1464</v>
      </c>
      <c r="BJ149" s="44">
        <v>8</v>
      </c>
      <c r="BK149" s="45">
        <v>23.529411764705884</v>
      </c>
      <c r="BL149" s="44">
        <v>0</v>
      </c>
      <c r="BM149" s="45">
        <v>0</v>
      </c>
      <c r="BN149" s="44">
        <v>0</v>
      </c>
      <c r="BO149" s="45">
        <v>0</v>
      </c>
      <c r="BP149" s="44">
        <v>26</v>
      </c>
      <c r="BQ149" s="45">
        <v>76.47058823529412</v>
      </c>
      <c r="BR149" s="44">
        <v>34</v>
      </c>
      <c r="BS149">
        <v>1</v>
      </c>
      <c r="BT149" s="112" t="str">
        <f>REPLACE(INDEX(GroupVertices[Group],MATCH("~"&amp;Edges37[[#This Row],[Vertex 1]],GroupVertices[Vertex],0)),1,1,"")</f>
        <v>33</v>
      </c>
      <c r="BU149" s="112" t="str">
        <f>REPLACE(INDEX(GroupVertices[Group],MATCH("~"&amp;Edges37[[#This Row],[Vertex 2]],GroupVertices[Vertex],0)),1,1,"")</f>
        <v>33</v>
      </c>
    </row>
    <row r="150" spans="1:73" ht="15">
      <c r="A150" s="59" t="s">
        <v>268</v>
      </c>
      <c r="B150" s="59" t="s">
        <v>268</v>
      </c>
      <c r="C150" s="60"/>
      <c r="D150" s="61"/>
      <c r="E150" s="62"/>
      <c r="F150" s="63"/>
      <c r="G150" s="60"/>
      <c r="H150" s="64"/>
      <c r="I150" s="65"/>
      <c r="J150" s="65"/>
      <c r="K150" s="30" t="s">
        <v>65</v>
      </c>
      <c r="L150" s="72">
        <v>235</v>
      </c>
      <c r="M1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0" s="67"/>
      <c r="O150" t="s">
        <v>177</v>
      </c>
      <c r="P150" s="73">
        <v>44542.58677083333</v>
      </c>
      <c r="Q150" t="s">
        <v>632</v>
      </c>
      <c r="R150">
        <v>589</v>
      </c>
      <c r="S150">
        <v>2090</v>
      </c>
      <c r="T150">
        <v>134</v>
      </c>
      <c r="U150">
        <v>44</v>
      </c>
      <c r="X150" s="75" t="str">
        <f>HYPERLINK("https://politik.rmol.id/read/2021/12/12/515055/alasan-firli-agar-preshold-0-persen-banyak-kepala-daerah-keluhkan-biaya-politik-dan-akhirnya-korupsi")</f>
        <v>https://politik.rmol.id/read/2021/12/12/515055/alasan-firli-agar-preshold-0-persen-banyak-kepala-daerah-keluhkan-biaya-politik-dan-akhirnya-korupsi</v>
      </c>
      <c r="Y150" t="s">
        <v>714</v>
      </c>
      <c r="AC150" s="74" t="s">
        <v>789</v>
      </c>
      <c r="AD150" t="s">
        <v>794</v>
      </c>
      <c r="AE150" s="75" t="str">
        <f>HYPERLINK("https://twitter.com/ramlirizal/status/1470031926467592195")</f>
        <v>https://twitter.com/ramlirizal/status/1470031926467592195</v>
      </c>
      <c r="AF150" s="73">
        <v>44542.58677083333</v>
      </c>
      <c r="AG150" s="77">
        <v>44542</v>
      </c>
      <c r="AH150" s="74" t="s">
        <v>946</v>
      </c>
      <c r="AI150" t="b">
        <v>0</v>
      </c>
      <c r="AV150" s="75" t="str">
        <f>HYPERLINK("https://pbs.twimg.com/profile_images/566077214081290240/NQje2pzu_normal.jpeg")</f>
        <v>https://pbs.twimg.com/profile_images/566077214081290240/NQje2pzu_normal.jpeg</v>
      </c>
      <c r="AW150" s="74" t="s">
        <v>1167</v>
      </c>
      <c r="AX150" s="74" t="s">
        <v>1167</v>
      </c>
      <c r="AZ150" s="74" t="s">
        <v>1384</v>
      </c>
      <c r="BA150" s="74" t="s">
        <v>1384</v>
      </c>
      <c r="BB150" s="74" t="s">
        <v>1384</v>
      </c>
      <c r="BC150" s="74" t="s">
        <v>1167</v>
      </c>
      <c r="BD150">
        <v>452992293</v>
      </c>
      <c r="BJ150" s="44">
        <v>2</v>
      </c>
      <c r="BK150" s="45">
        <v>4.761904761904762</v>
      </c>
      <c r="BL150" s="44">
        <v>0</v>
      </c>
      <c r="BM150" s="45">
        <v>0</v>
      </c>
      <c r="BN150" s="44">
        <v>0</v>
      </c>
      <c r="BO150" s="45">
        <v>0</v>
      </c>
      <c r="BP150" s="44">
        <v>40</v>
      </c>
      <c r="BQ150" s="45">
        <v>95.23809523809524</v>
      </c>
      <c r="BR150" s="44">
        <v>42</v>
      </c>
      <c r="BS150">
        <v>8</v>
      </c>
      <c r="BT150" s="112" t="str">
        <f>REPLACE(INDEX(GroupVertices[Group],MATCH("~"&amp;Edges37[[#This Row],[Vertex 1]],GroupVertices[Vertex],0)),1,1,"")</f>
        <v>13</v>
      </c>
      <c r="BU150" s="112" t="str">
        <f>REPLACE(INDEX(GroupVertices[Group],MATCH("~"&amp;Edges37[[#This Row],[Vertex 2]],GroupVertices[Vertex],0)),1,1,"")</f>
        <v>13</v>
      </c>
    </row>
    <row r="151" spans="1:73" ht="15">
      <c r="A151" s="59" t="s">
        <v>312</v>
      </c>
      <c r="B151" s="59" t="s">
        <v>268</v>
      </c>
      <c r="C151" s="60"/>
      <c r="D151" s="61"/>
      <c r="E151" s="62"/>
      <c r="F151" s="63"/>
      <c r="G151" s="60"/>
      <c r="H151" s="64"/>
      <c r="I151" s="65"/>
      <c r="J151" s="65"/>
      <c r="K151" s="30" t="s">
        <v>65</v>
      </c>
      <c r="L151" s="72">
        <v>236</v>
      </c>
      <c r="M1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1" s="67"/>
      <c r="O151" t="s">
        <v>484</v>
      </c>
      <c r="P151" s="73">
        <v>44574.96670138889</v>
      </c>
      <c r="Q151" t="s">
        <v>633</v>
      </c>
      <c r="R151">
        <v>4</v>
      </c>
      <c r="S151">
        <v>5</v>
      </c>
      <c r="T151">
        <v>0</v>
      </c>
      <c r="U151">
        <v>0</v>
      </c>
      <c r="W151" s="74" t="s">
        <v>701</v>
      </c>
      <c r="AC151" s="74" t="s">
        <v>787</v>
      </c>
      <c r="AD151" t="s">
        <v>794</v>
      </c>
      <c r="AE151" s="75" t="str">
        <f>HYPERLINK("https://twitter.com/imamsunartoarif/status/1481766019639443459")</f>
        <v>https://twitter.com/imamsunartoarif/status/1481766019639443459</v>
      </c>
      <c r="AF151" s="73">
        <v>44574.96670138889</v>
      </c>
      <c r="AG151" s="77">
        <v>44574</v>
      </c>
      <c r="AH151" s="74" t="s">
        <v>947</v>
      </c>
      <c r="AV151" s="75" t="str">
        <f>HYPERLINK("https://pbs.twimg.com/profile_images/949285402552102912/vXU1ljdl_normal.jpg")</f>
        <v>https://pbs.twimg.com/profile_images/949285402552102912/vXU1ljdl_normal.jpg</v>
      </c>
      <c r="AW151" s="74" t="s">
        <v>1169</v>
      </c>
      <c r="AX151" s="74" t="s">
        <v>1169</v>
      </c>
      <c r="AZ151" s="74" t="s">
        <v>1384</v>
      </c>
      <c r="BA151" s="74" t="s">
        <v>1100</v>
      </c>
      <c r="BB151" s="74" t="s">
        <v>1384</v>
      </c>
      <c r="BC151" s="74" t="s">
        <v>1100</v>
      </c>
      <c r="BD151">
        <v>221229468</v>
      </c>
      <c r="BJ151" s="44">
        <v>2</v>
      </c>
      <c r="BK151" s="45">
        <v>5.405405405405405</v>
      </c>
      <c r="BL151" s="44">
        <v>2</v>
      </c>
      <c r="BM151" s="45">
        <v>5.405405405405405</v>
      </c>
      <c r="BN151" s="44">
        <v>0</v>
      </c>
      <c r="BO151" s="45">
        <v>0</v>
      </c>
      <c r="BP151" s="44">
        <v>32</v>
      </c>
      <c r="BQ151" s="45">
        <v>86.48648648648648</v>
      </c>
      <c r="BR151" s="44">
        <v>37</v>
      </c>
      <c r="BS151">
        <v>1</v>
      </c>
      <c r="BT151" s="112" t="str">
        <f>REPLACE(INDEX(GroupVertices[Group],MATCH("~"&amp;Edges37[[#This Row],[Vertex 1]],GroupVertices[Vertex],0)),1,1,"")</f>
        <v>13</v>
      </c>
      <c r="BU151" s="112" t="str">
        <f>REPLACE(INDEX(GroupVertices[Group],MATCH("~"&amp;Edges37[[#This Row],[Vertex 2]],GroupVertices[Vertex],0)),1,1,"")</f>
        <v>13</v>
      </c>
    </row>
    <row r="152" spans="1:73" ht="15">
      <c r="A152" s="59" t="s">
        <v>313</v>
      </c>
      <c r="B152" s="59" t="s">
        <v>320</v>
      </c>
      <c r="C152" s="60"/>
      <c r="D152" s="61"/>
      <c r="E152" s="62"/>
      <c r="F152" s="63"/>
      <c r="G152" s="60"/>
      <c r="H152" s="64"/>
      <c r="I152" s="65"/>
      <c r="J152" s="65"/>
      <c r="K152" s="30" t="s">
        <v>65</v>
      </c>
      <c r="L152" s="72">
        <v>237</v>
      </c>
      <c r="M1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2" s="67"/>
      <c r="O152" t="s">
        <v>484</v>
      </c>
      <c r="P152" s="73">
        <v>44615.764027777775</v>
      </c>
      <c r="Q152" t="s">
        <v>634</v>
      </c>
      <c r="R152">
        <v>0</v>
      </c>
      <c r="S152">
        <v>1</v>
      </c>
      <c r="T152">
        <v>0</v>
      </c>
      <c r="U152">
        <v>0</v>
      </c>
      <c r="AC152" s="74" t="s">
        <v>787</v>
      </c>
      <c r="AD152" t="s">
        <v>794</v>
      </c>
      <c r="AE152" s="75" t="str">
        <f>HYPERLINK("https://twitter.com/kretek_mantab/status/1496550473213841411")</f>
        <v>https://twitter.com/kretek_mantab/status/1496550473213841411</v>
      </c>
      <c r="AF152" s="73">
        <v>44615.764027777775</v>
      </c>
      <c r="AG152" s="77">
        <v>44615</v>
      </c>
      <c r="AH152" s="74" t="s">
        <v>948</v>
      </c>
      <c r="AV152" s="75" t="str">
        <f>HYPERLINK("https://pbs.twimg.com/profile_images/1490362913705508865/eQDvT3lo_normal.jpg")</f>
        <v>https://pbs.twimg.com/profile_images/1490362913705508865/eQDvT3lo_normal.jpg</v>
      </c>
      <c r="AW152" s="74" t="s">
        <v>1170</v>
      </c>
      <c r="AX152" s="74" t="s">
        <v>1170</v>
      </c>
      <c r="AZ152" s="74" t="s">
        <v>1384</v>
      </c>
      <c r="BA152" s="74" t="s">
        <v>1181</v>
      </c>
      <c r="BB152" s="74" t="s">
        <v>1384</v>
      </c>
      <c r="BC152" s="74" t="s">
        <v>1181</v>
      </c>
      <c r="BD152" s="74" t="s">
        <v>1465</v>
      </c>
      <c r="BJ152" s="44">
        <v>3</v>
      </c>
      <c r="BK152" s="45">
        <v>25</v>
      </c>
      <c r="BL152" s="44">
        <v>1</v>
      </c>
      <c r="BM152" s="45">
        <v>8.333333333333334</v>
      </c>
      <c r="BN152" s="44">
        <v>0</v>
      </c>
      <c r="BO152" s="45">
        <v>0</v>
      </c>
      <c r="BP152" s="44">
        <v>8</v>
      </c>
      <c r="BQ152" s="45">
        <v>66.66666666666667</v>
      </c>
      <c r="BR152" s="44">
        <v>12</v>
      </c>
      <c r="BS152">
        <v>1</v>
      </c>
      <c r="BT152" s="112" t="str">
        <f>REPLACE(INDEX(GroupVertices[Group],MATCH("~"&amp;Edges37[[#This Row],[Vertex 1]],GroupVertices[Vertex],0)),1,1,"")</f>
        <v>38</v>
      </c>
      <c r="BU152" s="112" t="str">
        <f>REPLACE(INDEX(GroupVertices[Group],MATCH("~"&amp;Edges37[[#This Row],[Vertex 2]],GroupVertices[Vertex],0)),1,1,"")</f>
        <v>38</v>
      </c>
    </row>
    <row r="153" spans="1:73" ht="15">
      <c r="A153" s="59" t="s">
        <v>314</v>
      </c>
      <c r="B153" s="59" t="s">
        <v>314</v>
      </c>
      <c r="C153" s="60"/>
      <c r="D153" s="61"/>
      <c r="E153" s="62"/>
      <c r="F153" s="63"/>
      <c r="G153" s="60"/>
      <c r="H153" s="64"/>
      <c r="I153" s="65"/>
      <c r="J153" s="65"/>
      <c r="K153" s="30" t="s">
        <v>65</v>
      </c>
      <c r="L153" s="72">
        <v>238</v>
      </c>
      <c r="M1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3" s="67"/>
      <c r="O153" t="s">
        <v>177</v>
      </c>
      <c r="P153" s="73">
        <v>44558.02642361111</v>
      </c>
      <c r="Q153" t="s">
        <v>635</v>
      </c>
      <c r="R153">
        <v>21</v>
      </c>
      <c r="S153">
        <v>81</v>
      </c>
      <c r="T153">
        <v>2</v>
      </c>
      <c r="U153">
        <v>1</v>
      </c>
      <c r="X153" s="75" t="str">
        <f>HYPERLINK("https://www.oposisicerdas.com/2021/12/kembali-maju-ke-mk-agar-presidential.html")</f>
        <v>https://www.oposisicerdas.com/2021/12/kembali-maju-ke-mk-agar-presidential.html</v>
      </c>
      <c r="Y153" t="s">
        <v>718</v>
      </c>
      <c r="AC153" s="74" t="s">
        <v>786</v>
      </c>
      <c r="AD153" t="s">
        <v>794</v>
      </c>
      <c r="AE153" s="75" t="str">
        <f>HYPERLINK("https://twitter.com/oposisicerdas/status/1475627066351489028")</f>
        <v>https://twitter.com/oposisicerdas/status/1475627066351489028</v>
      </c>
      <c r="AF153" s="73">
        <v>44558.02642361111</v>
      </c>
      <c r="AG153" s="77">
        <v>44558</v>
      </c>
      <c r="AH153" s="74" t="s">
        <v>949</v>
      </c>
      <c r="AI153" t="b">
        <v>0</v>
      </c>
      <c r="AV153" s="75" t="str">
        <f>HYPERLINK("https://pbs.twimg.com/profile_images/1238029886066851841/eqxRguVj_normal.jpg")</f>
        <v>https://pbs.twimg.com/profile_images/1238029886066851841/eqxRguVj_normal.jpg</v>
      </c>
      <c r="AW153" s="74" t="s">
        <v>1171</v>
      </c>
      <c r="AX153" s="74" t="s">
        <v>1171</v>
      </c>
      <c r="AZ153" s="74" t="s">
        <v>1384</v>
      </c>
      <c r="BA153" s="74" t="s">
        <v>1384</v>
      </c>
      <c r="BB153" s="74" t="s">
        <v>1384</v>
      </c>
      <c r="BC153" s="74" t="s">
        <v>1171</v>
      </c>
      <c r="BD153" s="74" t="s">
        <v>1341</v>
      </c>
      <c r="BJ153" s="44">
        <v>3</v>
      </c>
      <c r="BK153" s="45">
        <v>14.285714285714286</v>
      </c>
      <c r="BL153" s="44">
        <v>0</v>
      </c>
      <c r="BM153" s="45">
        <v>0</v>
      </c>
      <c r="BN153" s="44">
        <v>0</v>
      </c>
      <c r="BO153" s="45">
        <v>0</v>
      </c>
      <c r="BP153" s="44">
        <v>17</v>
      </c>
      <c r="BQ153" s="45">
        <v>80.95238095238095</v>
      </c>
      <c r="BR153" s="44">
        <v>21</v>
      </c>
      <c r="BS153">
        <v>64</v>
      </c>
      <c r="BT153" s="112" t="str">
        <f>REPLACE(INDEX(GroupVertices[Group],MATCH("~"&amp;Edges37[[#This Row],[Vertex 1]],GroupVertices[Vertex],0)),1,1,"")</f>
        <v>11</v>
      </c>
      <c r="BU153" s="112" t="str">
        <f>REPLACE(INDEX(GroupVertices[Group],MATCH("~"&amp;Edges37[[#This Row],[Vertex 2]],GroupVertices[Vertex],0)),1,1,"")</f>
        <v>11</v>
      </c>
    </row>
    <row r="154" spans="1:73" ht="15">
      <c r="A154" s="59" t="s">
        <v>315</v>
      </c>
      <c r="B154" s="59" t="s">
        <v>314</v>
      </c>
      <c r="C154" s="60"/>
      <c r="D154" s="61"/>
      <c r="E154" s="62"/>
      <c r="F154" s="63"/>
      <c r="G154" s="60"/>
      <c r="H154" s="64"/>
      <c r="I154" s="65"/>
      <c r="J154" s="65"/>
      <c r="K154" s="30" t="s">
        <v>65</v>
      </c>
      <c r="L154" s="72">
        <v>239</v>
      </c>
      <c r="M1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4" s="67"/>
      <c r="O154" t="s">
        <v>482</v>
      </c>
      <c r="P154" s="73">
        <v>44632.92283564815</v>
      </c>
      <c r="Q154" t="s">
        <v>636</v>
      </c>
      <c r="R154">
        <v>0</v>
      </c>
      <c r="S154">
        <v>0</v>
      </c>
      <c r="T154">
        <v>0</v>
      </c>
      <c r="U154">
        <v>0</v>
      </c>
      <c r="W154" s="74" t="s">
        <v>702</v>
      </c>
      <c r="Z154" t="s">
        <v>314</v>
      </c>
      <c r="AC154" s="74" t="s">
        <v>787</v>
      </c>
      <c r="AD154" t="s">
        <v>794</v>
      </c>
      <c r="AE154" s="75" t="str">
        <f>HYPERLINK("https://twitter.com/rasyeed_amree/status/1502768619536539649")</f>
        <v>https://twitter.com/rasyeed_amree/status/1502768619536539649</v>
      </c>
      <c r="AF154" s="73">
        <v>44632.92283564815</v>
      </c>
      <c r="AG154" s="77">
        <v>44632</v>
      </c>
      <c r="AH154" s="74" t="s">
        <v>950</v>
      </c>
      <c r="AV154" s="75" t="str">
        <f>HYPERLINK("https://pbs.twimg.com/profile_images/1561304180655943680/YZrRUe5N_normal.jpg")</f>
        <v>https://pbs.twimg.com/profile_images/1561304180655943680/YZrRUe5N_normal.jpg</v>
      </c>
      <c r="AW154" s="74" t="s">
        <v>1175</v>
      </c>
      <c r="AX154" s="74" t="s">
        <v>1308</v>
      </c>
      <c r="AY154" s="74" t="s">
        <v>1341</v>
      </c>
      <c r="AZ154" s="74" t="s">
        <v>1308</v>
      </c>
      <c r="BA154" s="74" t="s">
        <v>1384</v>
      </c>
      <c r="BB154" s="74" t="s">
        <v>1384</v>
      </c>
      <c r="BC154" s="74" t="s">
        <v>1308</v>
      </c>
      <c r="BD154" s="74" t="s">
        <v>1466</v>
      </c>
      <c r="BJ154" s="44">
        <v>1</v>
      </c>
      <c r="BK154" s="45">
        <v>11.11111111111111</v>
      </c>
      <c r="BL154" s="44">
        <v>0</v>
      </c>
      <c r="BM154" s="45">
        <v>0</v>
      </c>
      <c r="BN154" s="44">
        <v>0</v>
      </c>
      <c r="BO154" s="45">
        <v>0</v>
      </c>
      <c r="BP154" s="44">
        <v>8</v>
      </c>
      <c r="BQ154" s="45">
        <v>88.88888888888889</v>
      </c>
      <c r="BR154" s="44">
        <v>9</v>
      </c>
      <c r="BS154">
        <v>27</v>
      </c>
      <c r="BT154" s="112" t="str">
        <f>REPLACE(INDEX(GroupVertices[Group],MATCH("~"&amp;Edges37[[#This Row],[Vertex 1]],GroupVertices[Vertex],0)),1,1,"")</f>
        <v>11</v>
      </c>
      <c r="BU154" s="112" t="str">
        <f>REPLACE(INDEX(GroupVertices[Group],MATCH("~"&amp;Edges37[[#This Row],[Vertex 2]],GroupVertices[Vertex],0)),1,1,"")</f>
        <v>11</v>
      </c>
    </row>
    <row r="155" spans="1:73" ht="15">
      <c r="A155" s="59" t="s">
        <v>316</v>
      </c>
      <c r="B155" s="59" t="s">
        <v>316</v>
      </c>
      <c r="C155" s="60"/>
      <c r="D155" s="61"/>
      <c r="E155" s="62"/>
      <c r="F155" s="63"/>
      <c r="G155" s="60"/>
      <c r="H155" s="64"/>
      <c r="I155" s="65"/>
      <c r="J155" s="65"/>
      <c r="K155" s="30" t="s">
        <v>65</v>
      </c>
      <c r="L155" s="72">
        <v>240</v>
      </c>
      <c r="M1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5" s="67"/>
      <c r="O155" t="s">
        <v>177</v>
      </c>
      <c r="P155" s="73">
        <v>44544.612546296295</v>
      </c>
      <c r="Q155" t="s">
        <v>637</v>
      </c>
      <c r="R155">
        <v>0</v>
      </c>
      <c r="S155">
        <v>0</v>
      </c>
      <c r="T155">
        <v>0</v>
      </c>
      <c r="U155">
        <v>0</v>
      </c>
      <c r="W155" s="74" t="s">
        <v>682</v>
      </c>
      <c r="AC155" s="74" t="s">
        <v>787</v>
      </c>
      <c r="AD155" t="s">
        <v>795</v>
      </c>
      <c r="AE155" s="75" t="str">
        <f>HYPERLINK("https://twitter.com/amrullahkareem1/status/1470766040544075778")</f>
        <v>https://twitter.com/amrullahkareem1/status/1470766040544075778</v>
      </c>
      <c r="AF155" s="73">
        <v>44544.612546296295</v>
      </c>
      <c r="AG155" s="77">
        <v>44544</v>
      </c>
      <c r="AH155" s="74" t="s">
        <v>951</v>
      </c>
      <c r="AV155" s="75" t="str">
        <f>HYPERLINK("https://pbs.twimg.com/profile_images/1698015402755080192/QtWkIROy_normal.jpg")</f>
        <v>https://pbs.twimg.com/profile_images/1698015402755080192/QtWkIROy_normal.jpg</v>
      </c>
      <c r="AW155" s="74" t="s">
        <v>1176</v>
      </c>
      <c r="AX155" s="74" t="s">
        <v>1176</v>
      </c>
      <c r="AZ155" s="74" t="s">
        <v>1384</v>
      </c>
      <c r="BA155" s="74" t="s">
        <v>1384</v>
      </c>
      <c r="BB155" s="74" t="s">
        <v>1384</v>
      </c>
      <c r="BC155" s="74" t="s">
        <v>1176</v>
      </c>
      <c r="BD155">
        <v>533765689</v>
      </c>
      <c r="BJ155" s="44">
        <v>0</v>
      </c>
      <c r="BK155" s="45">
        <v>0</v>
      </c>
      <c r="BL155" s="44">
        <v>0</v>
      </c>
      <c r="BM155" s="45">
        <v>0</v>
      </c>
      <c r="BN155" s="44">
        <v>0</v>
      </c>
      <c r="BO155" s="45">
        <v>0</v>
      </c>
      <c r="BP155" s="44">
        <v>1</v>
      </c>
      <c r="BQ155" s="45">
        <v>100</v>
      </c>
      <c r="BR155" s="44">
        <v>1</v>
      </c>
      <c r="BS155">
        <v>1</v>
      </c>
      <c r="BT155" s="112" t="str">
        <f>REPLACE(INDEX(GroupVertices[Group],MATCH("~"&amp;Edges37[[#This Row],[Vertex 1]],GroupVertices[Vertex],0)),1,1,"")</f>
        <v>3</v>
      </c>
      <c r="BU155" s="112" t="str">
        <f>REPLACE(INDEX(GroupVertices[Group],MATCH("~"&amp;Edges37[[#This Row],[Vertex 2]],GroupVertices[Vertex],0)),1,1,"")</f>
        <v>3</v>
      </c>
    </row>
    <row r="156" spans="1:73" ht="15">
      <c r="A156" s="59" t="s">
        <v>317</v>
      </c>
      <c r="B156" s="59" t="s">
        <v>470</v>
      </c>
      <c r="C156" s="60"/>
      <c r="D156" s="61"/>
      <c r="E156" s="62"/>
      <c r="F156" s="63"/>
      <c r="G156" s="60"/>
      <c r="H156" s="64"/>
      <c r="I156" s="65"/>
      <c r="J156" s="65"/>
      <c r="K156" s="30" t="s">
        <v>65</v>
      </c>
      <c r="L156" s="72">
        <v>241</v>
      </c>
      <c r="M1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6" s="67"/>
      <c r="O156" t="s">
        <v>483</v>
      </c>
      <c r="P156" s="73">
        <v>44580.196597222224</v>
      </c>
      <c r="Q156" t="s">
        <v>638</v>
      </c>
      <c r="R156">
        <v>0</v>
      </c>
      <c r="S156">
        <v>2</v>
      </c>
      <c r="T156">
        <v>1</v>
      </c>
      <c r="U156">
        <v>0</v>
      </c>
      <c r="Z156" t="s">
        <v>761</v>
      </c>
      <c r="AC156" s="74" t="s">
        <v>787</v>
      </c>
      <c r="AD156" t="s">
        <v>794</v>
      </c>
      <c r="AE156" s="75" t="str">
        <f>HYPERLINK("https://twitter.com/naylaazkiaa/status/1483661268859105280")</f>
        <v>https://twitter.com/naylaazkiaa/status/1483661268859105280</v>
      </c>
      <c r="AF156" s="73">
        <v>44580.196597222224</v>
      </c>
      <c r="AG156" s="77">
        <v>44580</v>
      </c>
      <c r="AH156" s="74" t="s">
        <v>952</v>
      </c>
      <c r="AV156" s="75" t="str">
        <f>HYPERLINK("https://pbs.twimg.com/profile_images/1439178090400256007/QzRHU2t-_normal.jpg")</f>
        <v>https://pbs.twimg.com/profile_images/1439178090400256007/QzRHU2t-_normal.jpg</v>
      </c>
      <c r="AW156" s="74" t="s">
        <v>1177</v>
      </c>
      <c r="AX156" s="74" t="s">
        <v>1309</v>
      </c>
      <c r="AY156" s="74" t="s">
        <v>1380</v>
      </c>
      <c r="AZ156" s="74" t="s">
        <v>1309</v>
      </c>
      <c r="BA156" s="74" t="s">
        <v>1384</v>
      </c>
      <c r="BB156" s="74" t="s">
        <v>1384</v>
      </c>
      <c r="BC156" s="74" t="s">
        <v>1309</v>
      </c>
      <c r="BD156" s="74" t="s">
        <v>1467</v>
      </c>
      <c r="BJ156" s="44"/>
      <c r="BK156" s="45"/>
      <c r="BL156" s="44"/>
      <c r="BM156" s="45"/>
      <c r="BN156" s="44"/>
      <c r="BO156" s="45"/>
      <c r="BP156" s="44"/>
      <c r="BQ156" s="45"/>
      <c r="BR156" s="44"/>
      <c r="BS156">
        <v>1</v>
      </c>
      <c r="BT156" s="112" t="str">
        <f>REPLACE(INDEX(GroupVertices[Group],MATCH("~"&amp;Edges37[[#This Row],[Vertex 1]],GroupVertices[Vertex],0)),1,1,"")</f>
        <v>14</v>
      </c>
      <c r="BU156" s="112" t="str">
        <f>REPLACE(INDEX(GroupVertices[Group],MATCH("~"&amp;Edges37[[#This Row],[Vertex 2]],GroupVertices[Vertex],0)),1,1,"")</f>
        <v>14</v>
      </c>
    </row>
    <row r="157" spans="1:73" ht="15">
      <c r="A157" s="59" t="s">
        <v>318</v>
      </c>
      <c r="B157" s="59" t="s">
        <v>318</v>
      </c>
      <c r="C157" s="60"/>
      <c r="D157" s="61"/>
      <c r="E157" s="62"/>
      <c r="F157" s="63"/>
      <c r="G157" s="60"/>
      <c r="H157" s="64"/>
      <c r="I157" s="65"/>
      <c r="J157" s="65"/>
      <c r="K157" s="30" t="s">
        <v>65</v>
      </c>
      <c r="L157" s="72">
        <v>247</v>
      </c>
      <c r="M1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7" s="67"/>
      <c r="O157" t="s">
        <v>177</v>
      </c>
      <c r="P157" s="73">
        <v>44563.782743055555</v>
      </c>
      <c r="Q157" t="s">
        <v>639</v>
      </c>
      <c r="R157">
        <v>888</v>
      </c>
      <c r="S157">
        <v>4828</v>
      </c>
      <c r="T157">
        <v>873</v>
      </c>
      <c r="U157">
        <v>138</v>
      </c>
      <c r="AC157" s="74" t="s">
        <v>786</v>
      </c>
      <c r="AD157" t="s">
        <v>794</v>
      </c>
      <c r="AE157" s="75" t="str">
        <f>HYPERLINK("https://twitter.com/reflyhz/status/1477713089839570945")</f>
        <v>https://twitter.com/reflyhz/status/1477713089839570945</v>
      </c>
      <c r="AF157" s="73">
        <v>44563.782743055555</v>
      </c>
      <c r="AG157" s="77">
        <v>44563</v>
      </c>
      <c r="AH157" s="74" t="s">
        <v>953</v>
      </c>
      <c r="AV157" s="75" t="str">
        <f>HYPERLINK("https://pbs.twimg.com/profile_images/1214626093501538305/VyCT9vZX_normal.jpg")</f>
        <v>https://pbs.twimg.com/profile_images/1214626093501538305/VyCT9vZX_normal.jpg</v>
      </c>
      <c r="AW157" s="74" t="s">
        <v>1178</v>
      </c>
      <c r="AX157" s="74" t="s">
        <v>1178</v>
      </c>
      <c r="AZ157" s="74" t="s">
        <v>1384</v>
      </c>
      <c r="BA157" s="74" t="s">
        <v>1384</v>
      </c>
      <c r="BB157" s="74" t="s">
        <v>1384</v>
      </c>
      <c r="BC157" s="74" t="s">
        <v>1178</v>
      </c>
      <c r="BD157">
        <v>185116088</v>
      </c>
      <c r="BJ157" s="44">
        <v>0</v>
      </c>
      <c r="BK157" s="45">
        <v>0</v>
      </c>
      <c r="BL157" s="44">
        <v>0</v>
      </c>
      <c r="BM157" s="45">
        <v>0</v>
      </c>
      <c r="BN157" s="44">
        <v>0</v>
      </c>
      <c r="BO157" s="45">
        <v>0</v>
      </c>
      <c r="BP157" s="44">
        <v>17</v>
      </c>
      <c r="BQ157" s="45">
        <v>100</v>
      </c>
      <c r="BR157" s="44">
        <v>17</v>
      </c>
      <c r="BS157">
        <v>8</v>
      </c>
      <c r="BT157" s="112" t="str">
        <f>REPLACE(INDEX(GroupVertices[Group],MATCH("~"&amp;Edges37[[#This Row],[Vertex 1]],GroupVertices[Vertex],0)),1,1,"")</f>
        <v>9</v>
      </c>
      <c r="BU157" s="112" t="str">
        <f>REPLACE(INDEX(GroupVertices[Group],MATCH("~"&amp;Edges37[[#This Row],[Vertex 2]],GroupVertices[Vertex],0)),1,1,"")</f>
        <v>9</v>
      </c>
    </row>
    <row r="158" spans="1:73" ht="15">
      <c r="A158" s="59" t="s">
        <v>319</v>
      </c>
      <c r="B158" s="59" t="s">
        <v>318</v>
      </c>
      <c r="C158" s="60"/>
      <c r="D158" s="61"/>
      <c r="E158" s="62"/>
      <c r="F158" s="63"/>
      <c r="G158" s="60"/>
      <c r="H158" s="64"/>
      <c r="I158" s="65"/>
      <c r="J158" s="65"/>
      <c r="K158" s="30" t="s">
        <v>65</v>
      </c>
      <c r="L158" s="72">
        <v>248</v>
      </c>
      <c r="M1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8" s="67"/>
      <c r="O158" t="s">
        <v>482</v>
      </c>
      <c r="P158" s="73">
        <v>44574.42431712963</v>
      </c>
      <c r="Q158" t="s">
        <v>640</v>
      </c>
      <c r="R158">
        <v>0</v>
      </c>
      <c r="S158">
        <v>3</v>
      </c>
      <c r="T158">
        <v>0</v>
      </c>
      <c r="U158">
        <v>0</v>
      </c>
      <c r="W158" s="74" t="s">
        <v>682</v>
      </c>
      <c r="Z158" t="s">
        <v>762</v>
      </c>
      <c r="AC158" s="74" t="s">
        <v>787</v>
      </c>
      <c r="AD158" t="s">
        <v>794</v>
      </c>
      <c r="AE158" s="75" t="str">
        <f>HYPERLINK("https://twitter.com/jokolipservice/status/1481569463841746946")</f>
        <v>https://twitter.com/jokolipservice/status/1481569463841746946</v>
      </c>
      <c r="AF158" s="73">
        <v>44574.42431712963</v>
      </c>
      <c r="AG158" s="77">
        <v>44574</v>
      </c>
      <c r="AH158" s="74" t="s">
        <v>954</v>
      </c>
      <c r="AV158" s="75" t="str">
        <f>HYPERLINK("https://pbs.twimg.com/profile_images/1720824613675163648/qp2uj9Te_normal.jpg")</f>
        <v>https://pbs.twimg.com/profile_images/1720824613675163648/qp2uj9Te_normal.jpg</v>
      </c>
      <c r="AW158" s="74" t="s">
        <v>1180</v>
      </c>
      <c r="AX158" s="74" t="s">
        <v>1179</v>
      </c>
      <c r="AY158" s="74" t="s">
        <v>1334</v>
      </c>
      <c r="AZ158" s="74" t="s">
        <v>1179</v>
      </c>
      <c r="BA158" s="74" t="s">
        <v>1384</v>
      </c>
      <c r="BB158" s="74" t="s">
        <v>1384</v>
      </c>
      <c r="BC158" s="74" t="s">
        <v>1179</v>
      </c>
      <c r="BD158">
        <v>2377644162</v>
      </c>
      <c r="BJ158" s="44">
        <v>2</v>
      </c>
      <c r="BK158" s="45">
        <v>28.571428571428573</v>
      </c>
      <c r="BL158" s="44">
        <v>0</v>
      </c>
      <c r="BM158" s="45">
        <v>0</v>
      </c>
      <c r="BN158" s="44">
        <v>0</v>
      </c>
      <c r="BO158" s="45">
        <v>0</v>
      </c>
      <c r="BP158" s="44">
        <v>5</v>
      </c>
      <c r="BQ158" s="45">
        <v>71.42857142857143</v>
      </c>
      <c r="BR158" s="44">
        <v>7</v>
      </c>
      <c r="BS158">
        <v>1</v>
      </c>
      <c r="BT158" s="112" t="str">
        <f>REPLACE(INDEX(GroupVertices[Group],MATCH("~"&amp;Edges37[[#This Row],[Vertex 1]],GroupVertices[Vertex],0)),1,1,"")</f>
        <v>9</v>
      </c>
      <c r="BU158" s="112" t="str">
        <f>REPLACE(INDEX(GroupVertices[Group],MATCH("~"&amp;Edges37[[#This Row],[Vertex 2]],GroupVertices[Vertex],0)),1,1,"")</f>
        <v>9</v>
      </c>
    </row>
    <row r="159" spans="1:73" ht="15">
      <c r="A159" s="59" t="s">
        <v>320</v>
      </c>
      <c r="B159" s="59" t="s">
        <v>320</v>
      </c>
      <c r="C159" s="60"/>
      <c r="D159" s="61"/>
      <c r="E159" s="62"/>
      <c r="F159" s="63"/>
      <c r="G159" s="60"/>
      <c r="H159" s="64"/>
      <c r="I159" s="65"/>
      <c r="J159" s="65"/>
      <c r="K159" s="30" t="s">
        <v>65</v>
      </c>
      <c r="L159" s="72">
        <v>249</v>
      </c>
      <c r="M1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9" s="67"/>
      <c r="O159" t="s">
        <v>177</v>
      </c>
      <c r="P159" s="73">
        <v>44615.64916666667</v>
      </c>
      <c r="Q159" t="s">
        <v>641</v>
      </c>
      <c r="R159">
        <v>1549</v>
      </c>
      <c r="S159">
        <v>4352</v>
      </c>
      <c r="T159">
        <v>728</v>
      </c>
      <c r="U159">
        <v>281</v>
      </c>
      <c r="AA159" t="s">
        <v>777</v>
      </c>
      <c r="AB159" t="s">
        <v>785</v>
      </c>
      <c r="AC159" s="74" t="s">
        <v>787</v>
      </c>
      <c r="AD159" t="s">
        <v>794</v>
      </c>
      <c r="AE159" s="75" t="str">
        <f>HYPERLINK("https://twitter.com/krmtroysuryo2/status/1496508851952451586")</f>
        <v>https://twitter.com/krmtroysuryo2/status/1496508851952451586</v>
      </c>
      <c r="AF159" s="73">
        <v>44615.64916666667</v>
      </c>
      <c r="AG159" s="77">
        <v>44615</v>
      </c>
      <c r="AH159" s="74" t="s">
        <v>955</v>
      </c>
      <c r="AI159" t="b">
        <v>0</v>
      </c>
      <c r="AQ159" t="s">
        <v>1015</v>
      </c>
      <c r="AV159" s="75" t="str">
        <f>HYPERLINK("https://pbs.twimg.com/media/FMSq17aUUAIvozT.jpg")</f>
        <v>https://pbs.twimg.com/media/FMSq17aUUAIvozT.jpg</v>
      </c>
      <c r="AW159" s="74" t="s">
        <v>1181</v>
      </c>
      <c r="AX159" s="74" t="s">
        <v>1181</v>
      </c>
      <c r="AZ159" s="74" t="s">
        <v>1384</v>
      </c>
      <c r="BA159" s="74" t="s">
        <v>1384</v>
      </c>
      <c r="BB159" s="74" t="s">
        <v>1384</v>
      </c>
      <c r="BC159" s="74" t="s">
        <v>1181</v>
      </c>
      <c r="BD159" s="74" t="s">
        <v>1468</v>
      </c>
      <c r="BJ159" s="44">
        <v>2</v>
      </c>
      <c r="BK159" s="45">
        <v>5.128205128205129</v>
      </c>
      <c r="BL159" s="44">
        <v>1</v>
      </c>
      <c r="BM159" s="45">
        <v>2.5641025641025643</v>
      </c>
      <c r="BN159" s="44">
        <v>0</v>
      </c>
      <c r="BO159" s="45">
        <v>0</v>
      </c>
      <c r="BP159" s="44">
        <v>36</v>
      </c>
      <c r="BQ159" s="45">
        <v>92.3076923076923</v>
      </c>
      <c r="BR159" s="44">
        <v>39</v>
      </c>
      <c r="BS159">
        <v>1</v>
      </c>
      <c r="BT159" s="112" t="str">
        <f>REPLACE(INDEX(GroupVertices[Group],MATCH("~"&amp;Edges37[[#This Row],[Vertex 1]],GroupVertices[Vertex],0)),1,1,"")</f>
        <v>38</v>
      </c>
      <c r="BU159" s="112" t="str">
        <f>REPLACE(INDEX(GroupVertices[Group],MATCH("~"&amp;Edges37[[#This Row],[Vertex 2]],GroupVertices[Vertex],0)),1,1,"")</f>
        <v>38</v>
      </c>
    </row>
    <row r="160" spans="1:73" ht="15">
      <c r="A160" s="59" t="s">
        <v>321</v>
      </c>
      <c r="B160" s="59" t="s">
        <v>476</v>
      </c>
      <c r="C160" s="60"/>
      <c r="D160" s="61"/>
      <c r="E160" s="62"/>
      <c r="F160" s="63"/>
      <c r="G160" s="60"/>
      <c r="H160" s="64"/>
      <c r="I160" s="65"/>
      <c r="J160" s="65"/>
      <c r="K160" s="30" t="s">
        <v>65</v>
      </c>
      <c r="L160" s="72">
        <v>250</v>
      </c>
      <c r="M1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0" s="67"/>
      <c r="O160" t="s">
        <v>485</v>
      </c>
      <c r="P160" s="73">
        <v>44586.09512731482</v>
      </c>
      <c r="Q160" t="s">
        <v>642</v>
      </c>
      <c r="R160">
        <v>0</v>
      </c>
      <c r="S160">
        <v>0</v>
      </c>
      <c r="T160">
        <v>0</v>
      </c>
      <c r="U160">
        <v>0</v>
      </c>
      <c r="W160" s="74" t="s">
        <v>682</v>
      </c>
      <c r="Z160" t="s">
        <v>476</v>
      </c>
      <c r="AC160" s="74" t="s">
        <v>787</v>
      </c>
      <c r="AD160" t="s">
        <v>794</v>
      </c>
      <c r="AE160" s="75" t="str">
        <f>HYPERLINK("https://twitter.com/nasirudin_manan/status/1485798827416518658")</f>
        <v>https://twitter.com/nasirudin_manan/status/1485798827416518658</v>
      </c>
      <c r="AF160" s="73">
        <v>44586.09512731482</v>
      </c>
      <c r="AG160" s="77">
        <v>44586</v>
      </c>
      <c r="AH160" s="74" t="s">
        <v>956</v>
      </c>
      <c r="AV160" s="75" t="str">
        <f>HYPERLINK("https://pbs.twimg.com/profile_images/1690969260951281664/qNfddUQH_normal.jpg")</f>
        <v>https://pbs.twimg.com/profile_images/1690969260951281664/qNfddUQH_normal.jpg</v>
      </c>
      <c r="AW160" s="74" t="s">
        <v>1182</v>
      </c>
      <c r="AX160" s="74" t="s">
        <v>1182</v>
      </c>
      <c r="AZ160" s="74" t="s">
        <v>1384</v>
      </c>
      <c r="BA160" s="74" t="s">
        <v>1183</v>
      </c>
      <c r="BB160" s="74" t="s">
        <v>1384</v>
      </c>
      <c r="BC160" s="74" t="s">
        <v>1183</v>
      </c>
      <c r="BD160" s="74" t="s">
        <v>1469</v>
      </c>
      <c r="BJ160" s="44"/>
      <c r="BK160" s="45"/>
      <c r="BL160" s="44"/>
      <c r="BM160" s="45"/>
      <c r="BN160" s="44"/>
      <c r="BO160" s="45"/>
      <c r="BP160" s="44"/>
      <c r="BQ160" s="45"/>
      <c r="BR160" s="44"/>
      <c r="BS160">
        <v>1</v>
      </c>
      <c r="BT160" s="112" t="str">
        <f>REPLACE(INDEX(GroupVertices[Group],MATCH("~"&amp;Edges37[[#This Row],[Vertex 1]],GroupVertices[Vertex],0)),1,1,"")</f>
        <v>18</v>
      </c>
      <c r="BU160" s="112" t="str">
        <f>REPLACE(INDEX(GroupVertices[Group],MATCH("~"&amp;Edges37[[#This Row],[Vertex 2]],GroupVertices[Vertex],0)),1,1,"")</f>
        <v>18</v>
      </c>
    </row>
    <row r="161" spans="1:73" ht="15">
      <c r="A161" s="59" t="s">
        <v>322</v>
      </c>
      <c r="B161" s="59" t="s">
        <v>322</v>
      </c>
      <c r="C161" s="60"/>
      <c r="D161" s="61"/>
      <c r="E161" s="62"/>
      <c r="F161" s="63"/>
      <c r="G161" s="60"/>
      <c r="H161" s="64"/>
      <c r="I161" s="65"/>
      <c r="J161" s="65"/>
      <c r="K161" s="30" t="s">
        <v>65</v>
      </c>
      <c r="L161" s="72">
        <v>252</v>
      </c>
      <c r="M1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1" s="67"/>
      <c r="O161" t="s">
        <v>177</v>
      </c>
      <c r="P161" s="73">
        <v>44586.089907407404</v>
      </c>
      <c r="Q161" t="s">
        <v>643</v>
      </c>
      <c r="R161">
        <v>136</v>
      </c>
      <c r="S161">
        <v>1062</v>
      </c>
      <c r="T161">
        <v>174</v>
      </c>
      <c r="U161">
        <v>30</v>
      </c>
      <c r="AC161" s="74" t="s">
        <v>787</v>
      </c>
      <c r="AD161" t="s">
        <v>794</v>
      </c>
      <c r="AE161" s="75" t="str">
        <f>HYPERLINK("https://twitter.com/fahrihamzah/status/1485796934308986880")</f>
        <v>https://twitter.com/fahrihamzah/status/1485796934308986880</v>
      </c>
      <c r="AF161" s="73">
        <v>44586.089907407404</v>
      </c>
      <c r="AG161" s="77">
        <v>44586</v>
      </c>
      <c r="AH161" s="74" t="s">
        <v>957</v>
      </c>
      <c r="AV161" s="75" t="str">
        <f>HYPERLINK("https://pbs.twimg.com/profile_images/1371238762185854983/ll_44DLi_normal.jpg")</f>
        <v>https://pbs.twimg.com/profile_images/1371238762185854983/ll_44DLi_normal.jpg</v>
      </c>
      <c r="AW161" s="74" t="s">
        <v>1183</v>
      </c>
      <c r="AX161" s="74" t="s">
        <v>1183</v>
      </c>
      <c r="AZ161" s="74" t="s">
        <v>1384</v>
      </c>
      <c r="BA161" s="74" t="s">
        <v>1384</v>
      </c>
      <c r="BB161" s="74" t="s">
        <v>1384</v>
      </c>
      <c r="BC161" s="74" t="s">
        <v>1183</v>
      </c>
      <c r="BD161">
        <v>120968478</v>
      </c>
      <c r="BJ161" s="44">
        <v>3</v>
      </c>
      <c r="BK161" s="45">
        <v>7.317073170731708</v>
      </c>
      <c r="BL161" s="44">
        <v>0</v>
      </c>
      <c r="BM161" s="45">
        <v>0</v>
      </c>
      <c r="BN161" s="44">
        <v>0</v>
      </c>
      <c r="BO161" s="45">
        <v>0</v>
      </c>
      <c r="BP161" s="44">
        <v>38</v>
      </c>
      <c r="BQ161" s="45">
        <v>92.6829268292683</v>
      </c>
      <c r="BR161" s="44">
        <v>41</v>
      </c>
      <c r="BS161">
        <v>1</v>
      </c>
      <c r="BT161" s="112" t="str">
        <f>REPLACE(INDEX(GroupVertices[Group],MATCH("~"&amp;Edges37[[#This Row],[Vertex 1]],GroupVertices[Vertex],0)),1,1,"")</f>
        <v>18</v>
      </c>
      <c r="BU161" s="112" t="str">
        <f>REPLACE(INDEX(GroupVertices[Group],MATCH("~"&amp;Edges37[[#This Row],[Vertex 2]],GroupVertices[Vertex],0)),1,1,"")</f>
        <v>18</v>
      </c>
    </row>
    <row r="162" spans="1:73" ht="15">
      <c r="A162" s="59" t="s">
        <v>323</v>
      </c>
      <c r="B162" s="59" t="s">
        <v>322</v>
      </c>
      <c r="C162" s="60"/>
      <c r="D162" s="61"/>
      <c r="E162" s="62"/>
      <c r="F162" s="63"/>
      <c r="G162" s="60"/>
      <c r="H162" s="64"/>
      <c r="I162" s="65"/>
      <c r="J162" s="65"/>
      <c r="K162" s="30" t="s">
        <v>65</v>
      </c>
      <c r="L162" s="72">
        <v>253</v>
      </c>
      <c r="M1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2" s="67"/>
      <c r="O162" t="s">
        <v>482</v>
      </c>
      <c r="P162" s="73">
        <v>44930.34607638889</v>
      </c>
      <c r="Q162" t="s">
        <v>644</v>
      </c>
      <c r="R162">
        <v>0</v>
      </c>
      <c r="S162">
        <v>5</v>
      </c>
      <c r="T162">
        <v>1</v>
      </c>
      <c r="U162">
        <v>0</v>
      </c>
      <c r="V162">
        <v>4837</v>
      </c>
      <c r="Z162" t="s">
        <v>322</v>
      </c>
      <c r="AC162" s="74" t="s">
        <v>787</v>
      </c>
      <c r="AD162" t="s">
        <v>794</v>
      </c>
      <c r="AE162" s="75" t="str">
        <f>HYPERLINK("https://twitter.com/rachman_ayah/status/1610551191850881027")</f>
        <v>https://twitter.com/rachman_ayah/status/1610551191850881027</v>
      </c>
      <c r="AF162" s="73">
        <v>44930.34607638889</v>
      </c>
      <c r="AG162" s="77">
        <v>44930</v>
      </c>
      <c r="AH162" s="74" t="s">
        <v>958</v>
      </c>
      <c r="AV162" s="75" t="str">
        <f>HYPERLINK("https://pbs.twimg.com/profile_images/1464279451563397122/ZnNNWFJ__normal.png")</f>
        <v>https://pbs.twimg.com/profile_images/1464279451563397122/ZnNNWFJ__normal.png</v>
      </c>
      <c r="AW162" s="74" t="s">
        <v>1184</v>
      </c>
      <c r="AX162" s="74" t="s">
        <v>1310</v>
      </c>
      <c r="AY162" s="74" t="s">
        <v>1381</v>
      </c>
      <c r="AZ162" s="74" t="s">
        <v>1310</v>
      </c>
      <c r="BA162" s="74" t="s">
        <v>1384</v>
      </c>
      <c r="BB162" s="74" t="s">
        <v>1384</v>
      </c>
      <c r="BC162" s="74" t="s">
        <v>1310</v>
      </c>
      <c r="BD162" s="74" t="s">
        <v>1470</v>
      </c>
      <c r="BJ162" s="44">
        <v>7</v>
      </c>
      <c r="BK162" s="45">
        <v>20.58823529411765</v>
      </c>
      <c r="BL162" s="44">
        <v>3</v>
      </c>
      <c r="BM162" s="45">
        <v>8.823529411764707</v>
      </c>
      <c r="BN162" s="44">
        <v>0</v>
      </c>
      <c r="BO162" s="45">
        <v>0</v>
      </c>
      <c r="BP162" s="44">
        <v>24</v>
      </c>
      <c r="BQ162" s="45">
        <v>70.58823529411765</v>
      </c>
      <c r="BR162" s="44">
        <v>34</v>
      </c>
      <c r="BS162">
        <v>1</v>
      </c>
      <c r="BT162" s="112" t="str">
        <f>REPLACE(INDEX(GroupVertices[Group],MATCH("~"&amp;Edges37[[#This Row],[Vertex 1]],GroupVertices[Vertex],0)),1,1,"")</f>
        <v>18</v>
      </c>
      <c r="BU162" s="112" t="str">
        <f>REPLACE(INDEX(GroupVertices[Group],MATCH("~"&amp;Edges37[[#This Row],[Vertex 2]],GroupVertices[Vertex],0)),1,1,"")</f>
        <v>18</v>
      </c>
    </row>
    <row r="163" spans="1:73" ht="15">
      <c r="A163" s="59" t="s">
        <v>324</v>
      </c>
      <c r="B163" s="59" t="s">
        <v>324</v>
      </c>
      <c r="C163" s="60"/>
      <c r="D163" s="61"/>
      <c r="E163" s="62"/>
      <c r="F163" s="63"/>
      <c r="G163" s="60"/>
      <c r="H163" s="64"/>
      <c r="I163" s="65"/>
      <c r="J163" s="65"/>
      <c r="K163" s="30" t="s">
        <v>65</v>
      </c>
      <c r="L163" s="72">
        <v>254</v>
      </c>
      <c r="M1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3" s="67"/>
      <c r="O163" t="s">
        <v>177</v>
      </c>
      <c r="P163" s="73">
        <v>44595.5053125</v>
      </c>
      <c r="Q163" t="s">
        <v>645</v>
      </c>
      <c r="R163">
        <v>6</v>
      </c>
      <c r="S163">
        <v>17</v>
      </c>
      <c r="T163">
        <v>2</v>
      </c>
      <c r="U163">
        <v>2</v>
      </c>
      <c r="AA163" t="s">
        <v>778</v>
      </c>
      <c r="AB163" t="s">
        <v>784</v>
      </c>
      <c r="AC163" s="74" t="s">
        <v>787</v>
      </c>
      <c r="AD163" t="s">
        <v>794</v>
      </c>
      <c r="AE163" s="75" t="str">
        <f>HYPERLINK("https://twitter.com/dek_bintank/status/1489208963480842240")</f>
        <v>https://twitter.com/dek_bintank/status/1489208963480842240</v>
      </c>
      <c r="AF163" s="73">
        <v>44595.5053125</v>
      </c>
      <c r="AG163" s="77">
        <v>44595</v>
      </c>
      <c r="AH163" s="74" t="s">
        <v>959</v>
      </c>
      <c r="AI163" t="b">
        <v>0</v>
      </c>
      <c r="AQ163" t="s">
        <v>1016</v>
      </c>
      <c r="AR163">
        <v>107431</v>
      </c>
      <c r="AV163" s="75" t="str">
        <f>HYPERLINK("https://pbs.twimg.com/ext_tw_video_thumb/1489208786141454337/pu/img/_IiGT3yzOMR9XODZ.jpg")</f>
        <v>https://pbs.twimg.com/ext_tw_video_thumb/1489208786141454337/pu/img/_IiGT3yzOMR9XODZ.jpg</v>
      </c>
      <c r="AW163" s="74" t="s">
        <v>1185</v>
      </c>
      <c r="AX163" s="74" t="s">
        <v>1185</v>
      </c>
      <c r="AZ163" s="74" t="s">
        <v>1384</v>
      </c>
      <c r="BA163" s="74" t="s">
        <v>1384</v>
      </c>
      <c r="BB163" s="74" t="s">
        <v>1384</v>
      </c>
      <c r="BC163" s="74" t="s">
        <v>1185</v>
      </c>
      <c r="BD163" s="74" t="s">
        <v>1471</v>
      </c>
      <c r="BJ163" s="44">
        <v>3</v>
      </c>
      <c r="BK163" s="45">
        <v>27.272727272727273</v>
      </c>
      <c r="BL163" s="44">
        <v>0</v>
      </c>
      <c r="BM163" s="45">
        <v>0</v>
      </c>
      <c r="BN163" s="44">
        <v>0</v>
      </c>
      <c r="BO163" s="45">
        <v>0</v>
      </c>
      <c r="BP163" s="44">
        <v>8</v>
      </c>
      <c r="BQ163" s="45">
        <v>72.72727272727273</v>
      </c>
      <c r="BR163" s="44">
        <v>11</v>
      </c>
      <c r="BS163">
        <v>1</v>
      </c>
      <c r="BT163" s="112" t="str">
        <f>REPLACE(INDEX(GroupVertices[Group],MATCH("~"&amp;Edges37[[#This Row],[Vertex 1]],GroupVertices[Vertex],0)),1,1,"")</f>
        <v>37</v>
      </c>
      <c r="BU163" s="112" t="str">
        <f>REPLACE(INDEX(GroupVertices[Group],MATCH("~"&amp;Edges37[[#This Row],[Vertex 2]],GroupVertices[Vertex],0)),1,1,"")</f>
        <v>37</v>
      </c>
    </row>
    <row r="164" spans="1:73" ht="15">
      <c r="A164" s="59" t="s">
        <v>325</v>
      </c>
      <c r="B164" s="59" t="s">
        <v>324</v>
      </c>
      <c r="C164" s="60"/>
      <c r="D164" s="61"/>
      <c r="E164" s="62"/>
      <c r="F164" s="63"/>
      <c r="G164" s="60"/>
      <c r="H164" s="64"/>
      <c r="I164" s="65"/>
      <c r="J164" s="65"/>
      <c r="K164" s="30" t="s">
        <v>65</v>
      </c>
      <c r="L164" s="72">
        <v>255</v>
      </c>
      <c r="M1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4" s="67"/>
      <c r="O164" t="s">
        <v>484</v>
      </c>
      <c r="P164" s="73">
        <v>44595.89550925926</v>
      </c>
      <c r="Q164" t="s">
        <v>646</v>
      </c>
      <c r="R164">
        <v>0</v>
      </c>
      <c r="S164">
        <v>0</v>
      </c>
      <c r="T164">
        <v>0</v>
      </c>
      <c r="U164">
        <v>0</v>
      </c>
      <c r="AC164" s="74" t="s">
        <v>787</v>
      </c>
      <c r="AD164" t="s">
        <v>794</v>
      </c>
      <c r="AE164" s="75" t="str">
        <f>HYPERLINK("https://twitter.com/presedentbuzzer/status/1489350367054004224")</f>
        <v>https://twitter.com/presedentbuzzer/status/1489350367054004224</v>
      </c>
      <c r="AF164" s="73">
        <v>44595.89550925926</v>
      </c>
      <c r="AG164" s="77">
        <v>44595</v>
      </c>
      <c r="AH164" s="74" t="s">
        <v>960</v>
      </c>
      <c r="AV164" s="75" t="str">
        <f>HYPERLINK("https://pbs.twimg.com/profile_images/1410778214335619073/BBsUoxG1_normal.jpg")</f>
        <v>https://pbs.twimg.com/profile_images/1410778214335619073/BBsUoxG1_normal.jpg</v>
      </c>
      <c r="AW164" s="74" t="s">
        <v>1186</v>
      </c>
      <c r="AX164" s="74" t="s">
        <v>1186</v>
      </c>
      <c r="AZ164" s="74" t="s">
        <v>1384</v>
      </c>
      <c r="BA164" s="74" t="s">
        <v>1185</v>
      </c>
      <c r="BB164" s="74" t="s">
        <v>1384</v>
      </c>
      <c r="BC164" s="74" t="s">
        <v>1185</v>
      </c>
      <c r="BD164" s="74" t="s">
        <v>1472</v>
      </c>
      <c r="BJ164" s="44">
        <v>4</v>
      </c>
      <c r="BK164" s="45">
        <v>80</v>
      </c>
      <c r="BL164" s="44">
        <v>0</v>
      </c>
      <c r="BM164" s="45">
        <v>0</v>
      </c>
      <c r="BN164" s="44">
        <v>0</v>
      </c>
      <c r="BO164" s="45">
        <v>0</v>
      </c>
      <c r="BP164" s="44">
        <v>1</v>
      </c>
      <c r="BQ164" s="45">
        <v>20</v>
      </c>
      <c r="BR164" s="44">
        <v>5</v>
      </c>
      <c r="BS164">
        <v>1</v>
      </c>
      <c r="BT164" s="112" t="str">
        <f>REPLACE(INDEX(GroupVertices[Group],MATCH("~"&amp;Edges37[[#This Row],[Vertex 1]],GroupVertices[Vertex],0)),1,1,"")</f>
        <v>37</v>
      </c>
      <c r="BU164" s="112" t="str">
        <f>REPLACE(INDEX(GroupVertices[Group],MATCH("~"&amp;Edges37[[#This Row],[Vertex 2]],GroupVertices[Vertex],0)),1,1,"")</f>
        <v>37</v>
      </c>
    </row>
    <row r="165" spans="1:73" ht="15">
      <c r="A165" s="59" t="s">
        <v>326</v>
      </c>
      <c r="B165" s="59" t="s">
        <v>477</v>
      </c>
      <c r="C165" s="60"/>
      <c r="D165" s="61"/>
      <c r="E165" s="62"/>
      <c r="F165" s="63"/>
      <c r="G165" s="60"/>
      <c r="H165" s="64"/>
      <c r="I165" s="65"/>
      <c r="J165" s="65"/>
      <c r="K165" s="30" t="s">
        <v>65</v>
      </c>
      <c r="L165" s="72">
        <v>256</v>
      </c>
      <c r="M1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5" s="67"/>
      <c r="O165" t="s">
        <v>482</v>
      </c>
      <c r="P165" s="73">
        <v>44679.69924768519</v>
      </c>
      <c r="Q165" t="s">
        <v>647</v>
      </c>
      <c r="R165">
        <v>0</v>
      </c>
      <c r="S165">
        <v>0</v>
      </c>
      <c r="T165">
        <v>1</v>
      </c>
      <c r="U165">
        <v>0</v>
      </c>
      <c r="W165" s="74" t="s">
        <v>703</v>
      </c>
      <c r="Z165" t="s">
        <v>477</v>
      </c>
      <c r="AC165" s="74" t="s">
        <v>787</v>
      </c>
      <c r="AD165" t="s">
        <v>794</v>
      </c>
      <c r="AE165" s="75" t="str">
        <f>HYPERLINK("https://twitter.com/dikisoesanto/status/1519719824318164992")</f>
        <v>https://twitter.com/dikisoesanto/status/1519719824318164992</v>
      </c>
      <c r="AF165" s="73">
        <v>44679.69924768519</v>
      </c>
      <c r="AG165" s="77">
        <v>44679</v>
      </c>
      <c r="AH165" s="74" t="s">
        <v>961</v>
      </c>
      <c r="AV165" s="75" t="str">
        <f>HYPERLINK("https://pbs.twimg.com/profile_images/1516829290389655554/9sqvdRFL_normal.jpg")</f>
        <v>https://pbs.twimg.com/profile_images/1516829290389655554/9sqvdRFL_normal.jpg</v>
      </c>
      <c r="AW165" s="74" t="s">
        <v>1187</v>
      </c>
      <c r="AX165" s="74" t="s">
        <v>1311</v>
      </c>
      <c r="AY165" s="74" t="s">
        <v>1382</v>
      </c>
      <c r="AZ165" s="74" t="s">
        <v>1311</v>
      </c>
      <c r="BA165" s="74" t="s">
        <v>1384</v>
      </c>
      <c r="BB165" s="74" t="s">
        <v>1384</v>
      </c>
      <c r="BC165" s="74" t="s">
        <v>1311</v>
      </c>
      <c r="BD165">
        <v>1433255858</v>
      </c>
      <c r="BJ165" s="44">
        <v>0</v>
      </c>
      <c r="BK165" s="45">
        <v>0</v>
      </c>
      <c r="BL165" s="44">
        <v>0</v>
      </c>
      <c r="BM165" s="45">
        <v>0</v>
      </c>
      <c r="BN165" s="44">
        <v>0</v>
      </c>
      <c r="BO165" s="45">
        <v>0</v>
      </c>
      <c r="BP165" s="44">
        <v>22</v>
      </c>
      <c r="BQ165" s="45">
        <v>100</v>
      </c>
      <c r="BR165" s="44">
        <v>22</v>
      </c>
      <c r="BS165">
        <v>1</v>
      </c>
      <c r="BT165" s="112" t="str">
        <f>REPLACE(INDEX(GroupVertices[Group],MATCH("~"&amp;Edges37[[#This Row],[Vertex 1]],GroupVertices[Vertex],0)),1,1,"")</f>
        <v>29</v>
      </c>
      <c r="BU165" s="112" t="str">
        <f>REPLACE(INDEX(GroupVertices[Group],MATCH("~"&amp;Edges37[[#This Row],[Vertex 2]],GroupVertices[Vertex],0)),1,1,"")</f>
        <v>29</v>
      </c>
    </row>
    <row r="166" spans="1:73" ht="15">
      <c r="A166" s="59" t="s">
        <v>327</v>
      </c>
      <c r="B166" s="59" t="s">
        <v>327</v>
      </c>
      <c r="C166" s="60"/>
      <c r="D166" s="61"/>
      <c r="E166" s="62"/>
      <c r="F166" s="63"/>
      <c r="G166" s="60"/>
      <c r="H166" s="64"/>
      <c r="I166" s="65"/>
      <c r="J166" s="65"/>
      <c r="K166" s="30" t="s">
        <v>65</v>
      </c>
      <c r="L166" s="72">
        <v>257</v>
      </c>
      <c r="M1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6" s="67"/>
      <c r="O166" t="s">
        <v>177</v>
      </c>
      <c r="P166" s="73">
        <v>44574.97771990741</v>
      </c>
      <c r="Q166" t="s">
        <v>648</v>
      </c>
      <c r="R166">
        <v>7</v>
      </c>
      <c r="S166">
        <v>16</v>
      </c>
      <c r="T166">
        <v>1</v>
      </c>
      <c r="U166">
        <v>0</v>
      </c>
      <c r="W166" s="74" t="s">
        <v>683</v>
      </c>
      <c r="AA166" t="s">
        <v>779</v>
      </c>
      <c r="AB166" t="s">
        <v>783</v>
      </c>
      <c r="AC166" s="74" t="s">
        <v>787</v>
      </c>
      <c r="AD166" t="s">
        <v>797</v>
      </c>
      <c r="AE166" s="75" t="str">
        <f>HYPERLINK("https://twitter.com/salamduadj/status/1481770013724135424")</f>
        <v>https://twitter.com/salamduadj/status/1481770013724135424</v>
      </c>
      <c r="AF166" s="73">
        <v>44574.97771990741</v>
      </c>
      <c r="AG166" s="77">
        <v>44574</v>
      </c>
      <c r="AH166" s="74" t="s">
        <v>962</v>
      </c>
      <c r="AI166" t="b">
        <v>0</v>
      </c>
      <c r="AQ166" t="s">
        <v>1017</v>
      </c>
      <c r="AV166" s="75" t="str">
        <f>HYPERLINK("https://pbs.twimg.com/media/FJBN-XcaIAUmZmw.jpg")</f>
        <v>https://pbs.twimg.com/media/FJBN-XcaIAUmZmw.jpg</v>
      </c>
      <c r="AW166" s="74" t="s">
        <v>1188</v>
      </c>
      <c r="AX166" s="74" t="s">
        <v>1188</v>
      </c>
      <c r="AZ166" s="74" t="s">
        <v>1384</v>
      </c>
      <c r="BA166" s="74" t="s">
        <v>1384</v>
      </c>
      <c r="BB166" s="74" t="s">
        <v>1384</v>
      </c>
      <c r="BC166" s="74" t="s">
        <v>1188</v>
      </c>
      <c r="BD166" s="74" t="s">
        <v>1473</v>
      </c>
      <c r="BJ166" s="44">
        <v>3</v>
      </c>
      <c r="BK166" s="45">
        <v>33.333333333333336</v>
      </c>
      <c r="BL166" s="44">
        <v>0</v>
      </c>
      <c r="BM166" s="45">
        <v>0</v>
      </c>
      <c r="BN166" s="44">
        <v>0</v>
      </c>
      <c r="BO166" s="45">
        <v>0</v>
      </c>
      <c r="BP166" s="44">
        <v>6</v>
      </c>
      <c r="BQ166" s="45">
        <v>66.66666666666667</v>
      </c>
      <c r="BR166" s="44">
        <v>9</v>
      </c>
      <c r="BS166">
        <v>1</v>
      </c>
      <c r="BT166" s="112" t="str">
        <f>REPLACE(INDEX(GroupVertices[Group],MATCH("~"&amp;Edges37[[#This Row],[Vertex 1]],GroupVertices[Vertex],0)),1,1,"")</f>
        <v>3</v>
      </c>
      <c r="BU166" s="112" t="str">
        <f>REPLACE(INDEX(GroupVertices[Group],MATCH("~"&amp;Edges37[[#This Row],[Vertex 2]],GroupVertices[Vertex],0)),1,1,"")</f>
        <v>3</v>
      </c>
    </row>
    <row r="167" spans="1:73" ht="15">
      <c r="A167" s="59" t="s">
        <v>328</v>
      </c>
      <c r="B167" s="59" t="s">
        <v>328</v>
      </c>
      <c r="C167" s="60"/>
      <c r="D167" s="61"/>
      <c r="E167" s="62"/>
      <c r="F167" s="63"/>
      <c r="G167" s="60"/>
      <c r="H167" s="64"/>
      <c r="I167" s="65"/>
      <c r="J167" s="65"/>
      <c r="K167" s="30" t="s">
        <v>65</v>
      </c>
      <c r="L167" s="72">
        <v>258</v>
      </c>
      <c r="M1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7" s="67"/>
      <c r="O167" t="s">
        <v>177</v>
      </c>
      <c r="P167" s="73">
        <v>44593.57986111111</v>
      </c>
      <c r="Q167" t="s">
        <v>649</v>
      </c>
      <c r="R167">
        <v>309</v>
      </c>
      <c r="S167">
        <v>1155</v>
      </c>
      <c r="T167">
        <v>110</v>
      </c>
      <c r="U167">
        <v>31</v>
      </c>
      <c r="X167" s="75" t="str">
        <f>HYPERLINK("https://www.democrazy.id/2022/02/Proyek-IKN-Baru-Dikritik-Banyak-Kalangan-Refly-Harun-DPR-Tak-Berkutik-di-Hadapan-Jokowi.html")</f>
        <v>https://www.democrazy.id/2022/02/Proyek-IKN-Baru-Dikritik-Banyak-Kalangan-Refly-Harun-DPR-Tak-Berkutik-di-Hadapan-Jokowi.html</v>
      </c>
      <c r="Y167" t="s">
        <v>719</v>
      </c>
      <c r="AC167" s="74" t="s">
        <v>792</v>
      </c>
      <c r="AD167" t="s">
        <v>794</v>
      </c>
      <c r="AE167" s="75" t="str">
        <f>HYPERLINK("https://twitter.com/democrazymedia/status/1488511201390710790")</f>
        <v>https://twitter.com/democrazymedia/status/1488511201390710790</v>
      </c>
      <c r="AF167" s="73">
        <v>44593.57986111111</v>
      </c>
      <c r="AG167" s="77">
        <v>44593</v>
      </c>
      <c r="AH167" s="74" t="s">
        <v>963</v>
      </c>
      <c r="AI167" t="b">
        <v>0</v>
      </c>
      <c r="AV167" s="75" t="str">
        <f>HYPERLINK("https://pbs.twimg.com/profile_images/1480783321609113600/9C8OVc7R_normal.png")</f>
        <v>https://pbs.twimg.com/profile_images/1480783321609113600/9C8OVc7R_normal.png</v>
      </c>
      <c r="AW167" s="74" t="s">
        <v>1189</v>
      </c>
      <c r="AX167" s="74" t="s">
        <v>1189</v>
      </c>
      <c r="AZ167" s="74" t="s">
        <v>1384</v>
      </c>
      <c r="BA167" s="74" t="s">
        <v>1384</v>
      </c>
      <c r="BB167" s="74" t="s">
        <v>1384</v>
      </c>
      <c r="BC167" s="74" t="s">
        <v>1189</v>
      </c>
      <c r="BD167" s="74" t="s">
        <v>1318</v>
      </c>
      <c r="BJ167" s="44">
        <v>0</v>
      </c>
      <c r="BK167" s="45">
        <v>0</v>
      </c>
      <c r="BL167" s="44">
        <v>0</v>
      </c>
      <c r="BM167" s="45">
        <v>0</v>
      </c>
      <c r="BN167" s="44">
        <v>0</v>
      </c>
      <c r="BO167" s="45">
        <v>0</v>
      </c>
      <c r="BP167" s="44">
        <v>14</v>
      </c>
      <c r="BQ167" s="45">
        <v>100</v>
      </c>
      <c r="BR167" s="44">
        <v>14</v>
      </c>
      <c r="BS167">
        <v>8</v>
      </c>
      <c r="BT167" s="112" t="str">
        <f>REPLACE(INDEX(GroupVertices[Group],MATCH("~"&amp;Edges37[[#This Row],[Vertex 1]],GroupVertices[Vertex],0)),1,1,"")</f>
        <v>19</v>
      </c>
      <c r="BU167" s="112" t="str">
        <f>REPLACE(INDEX(GroupVertices[Group],MATCH("~"&amp;Edges37[[#This Row],[Vertex 2]],GroupVertices[Vertex],0)),1,1,"")</f>
        <v>19</v>
      </c>
    </row>
    <row r="168" spans="1:73" ht="15">
      <c r="A168" s="59" t="s">
        <v>329</v>
      </c>
      <c r="B168" s="59" t="s">
        <v>328</v>
      </c>
      <c r="C168" s="60"/>
      <c r="D168" s="61"/>
      <c r="E168" s="62"/>
      <c r="F168" s="63"/>
      <c r="G168" s="60"/>
      <c r="H168" s="64"/>
      <c r="I168" s="65"/>
      <c r="J168" s="65"/>
      <c r="K168" s="30" t="s">
        <v>65</v>
      </c>
      <c r="L168" s="72">
        <v>259</v>
      </c>
      <c r="M1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8" s="67"/>
      <c r="O168" t="s">
        <v>484</v>
      </c>
      <c r="P168" s="73">
        <v>44595.28171296296</v>
      </c>
      <c r="Q168" t="s">
        <v>650</v>
      </c>
      <c r="R168">
        <v>0</v>
      </c>
      <c r="S168">
        <v>0</v>
      </c>
      <c r="T168">
        <v>0</v>
      </c>
      <c r="U168">
        <v>0</v>
      </c>
      <c r="AC168" s="74" t="s">
        <v>789</v>
      </c>
      <c r="AD168" t="s">
        <v>794</v>
      </c>
      <c r="AE168" s="75" t="str">
        <f>HYPERLINK("https://twitter.com/pmf_qu/status/1489127932312186884")</f>
        <v>https://twitter.com/pmf_qu/status/1489127932312186884</v>
      </c>
      <c r="AF168" s="73">
        <v>44595.28171296296</v>
      </c>
      <c r="AG168" s="77">
        <v>44595</v>
      </c>
      <c r="AH168" s="74" t="s">
        <v>964</v>
      </c>
      <c r="AV168" s="75" t="str">
        <f>HYPERLINK("https://abs.twimg.com/sticky/default_profile_images/default_profile_normal.png")</f>
        <v>https://abs.twimg.com/sticky/default_profile_images/default_profile_normal.png</v>
      </c>
      <c r="AW168" s="74" t="s">
        <v>1191</v>
      </c>
      <c r="AX168" s="74" t="s">
        <v>1191</v>
      </c>
      <c r="AZ168" s="74" t="s">
        <v>1384</v>
      </c>
      <c r="BA168" s="74" t="s">
        <v>1189</v>
      </c>
      <c r="BB168" s="74" t="s">
        <v>1384</v>
      </c>
      <c r="BC168" s="74" t="s">
        <v>1189</v>
      </c>
      <c r="BD168" s="74" t="s">
        <v>1474</v>
      </c>
      <c r="BJ168" s="44">
        <v>3</v>
      </c>
      <c r="BK168" s="45">
        <v>25</v>
      </c>
      <c r="BL168" s="44">
        <v>1</v>
      </c>
      <c r="BM168" s="45">
        <v>8.333333333333334</v>
      </c>
      <c r="BN168" s="44">
        <v>0</v>
      </c>
      <c r="BO168" s="45">
        <v>0</v>
      </c>
      <c r="BP168" s="44">
        <v>8</v>
      </c>
      <c r="BQ168" s="45">
        <v>66.66666666666667</v>
      </c>
      <c r="BR168" s="44">
        <v>12</v>
      </c>
      <c r="BS168">
        <v>1</v>
      </c>
      <c r="BT168" s="112" t="str">
        <f>REPLACE(INDEX(GroupVertices[Group],MATCH("~"&amp;Edges37[[#This Row],[Vertex 1]],GroupVertices[Vertex],0)),1,1,"")</f>
        <v>5</v>
      </c>
      <c r="BU168" s="112" t="str">
        <f>REPLACE(INDEX(GroupVertices[Group],MATCH("~"&amp;Edges37[[#This Row],[Vertex 2]],GroupVertices[Vertex],0)),1,1,"")</f>
        <v>19</v>
      </c>
    </row>
    <row r="169" spans="1:73" ht="15">
      <c r="A169" s="59" t="s">
        <v>330</v>
      </c>
      <c r="B169" s="59" t="s">
        <v>330</v>
      </c>
      <c r="C169" s="60"/>
      <c r="D169" s="61"/>
      <c r="E169" s="62"/>
      <c r="F169" s="63"/>
      <c r="G169" s="60"/>
      <c r="H169" s="64"/>
      <c r="I169" s="65"/>
      <c r="J169" s="65"/>
      <c r="K169" s="30" t="s">
        <v>65</v>
      </c>
      <c r="L169" s="72">
        <v>260</v>
      </c>
      <c r="M1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9" s="67"/>
      <c r="O169" t="s">
        <v>177</v>
      </c>
      <c r="P169" s="73">
        <v>44605.56732638889</v>
      </c>
      <c r="Q169" t="s">
        <v>651</v>
      </c>
      <c r="R169">
        <v>483</v>
      </c>
      <c r="S169">
        <v>1166</v>
      </c>
      <c r="T169">
        <v>254</v>
      </c>
      <c r="U169">
        <v>113</v>
      </c>
      <c r="W169" s="74" t="s">
        <v>704</v>
      </c>
      <c r="X169" s="75" t="str">
        <f>HYPERLINK("https://bit.ly/3rJk6To")</f>
        <v>https://bit.ly/3rJk6To</v>
      </c>
      <c r="Y169" t="s">
        <v>720</v>
      </c>
      <c r="AC169" s="74" t="s">
        <v>792</v>
      </c>
      <c r="AD169" t="s">
        <v>794</v>
      </c>
      <c r="AE169" s="75" t="str">
        <f>HYPERLINK("https://twitter.com/tempodotco/status/1492855313321836544")</f>
        <v>https://twitter.com/tempodotco/status/1492855313321836544</v>
      </c>
      <c r="AF169" s="73">
        <v>44605.56732638889</v>
      </c>
      <c r="AG169" s="77">
        <v>44605</v>
      </c>
      <c r="AH169" s="74" t="s">
        <v>965</v>
      </c>
      <c r="AI169" t="b">
        <v>0</v>
      </c>
      <c r="AV169" s="75" t="str">
        <f>HYPERLINK("https://pbs.twimg.com/profile_images/1580466468629594112/Q-zcV6aQ_normal.jpg")</f>
        <v>https://pbs.twimg.com/profile_images/1580466468629594112/Q-zcV6aQ_normal.jpg</v>
      </c>
      <c r="AW169" s="74" t="s">
        <v>1192</v>
      </c>
      <c r="AX169" s="74" t="s">
        <v>1192</v>
      </c>
      <c r="AZ169" s="74" t="s">
        <v>1384</v>
      </c>
      <c r="BA169" s="74" t="s">
        <v>1384</v>
      </c>
      <c r="BB169" s="74" t="s">
        <v>1384</v>
      </c>
      <c r="BC169" s="74" t="s">
        <v>1192</v>
      </c>
      <c r="BD169">
        <v>18129942</v>
      </c>
      <c r="BJ169" s="44">
        <v>1</v>
      </c>
      <c r="BK169" s="45">
        <v>5</v>
      </c>
      <c r="BL169" s="44">
        <v>0</v>
      </c>
      <c r="BM169" s="45">
        <v>0</v>
      </c>
      <c r="BN169" s="44">
        <v>0</v>
      </c>
      <c r="BO169" s="45">
        <v>0</v>
      </c>
      <c r="BP169" s="44">
        <v>19</v>
      </c>
      <c r="BQ169" s="45">
        <v>95</v>
      </c>
      <c r="BR169" s="44">
        <v>20</v>
      </c>
      <c r="BS169">
        <v>1</v>
      </c>
      <c r="BT169" s="112" t="str">
        <f>REPLACE(INDEX(GroupVertices[Group],MATCH("~"&amp;Edges37[[#This Row],[Vertex 1]],GroupVertices[Vertex],0)),1,1,"")</f>
        <v>5</v>
      </c>
      <c r="BU169" s="112" t="str">
        <f>REPLACE(INDEX(GroupVertices[Group],MATCH("~"&amp;Edges37[[#This Row],[Vertex 2]],GroupVertices[Vertex],0)),1,1,"")</f>
        <v>5</v>
      </c>
    </row>
    <row r="170" spans="1:73" ht="15">
      <c r="A170" s="59" t="s">
        <v>329</v>
      </c>
      <c r="B170" s="59" t="s">
        <v>330</v>
      </c>
      <c r="C170" s="60"/>
      <c r="D170" s="61"/>
      <c r="E170" s="62"/>
      <c r="F170" s="63"/>
      <c r="G170" s="60"/>
      <c r="H170" s="64"/>
      <c r="I170" s="65"/>
      <c r="J170" s="65"/>
      <c r="K170" s="30" t="s">
        <v>65</v>
      </c>
      <c r="L170" s="72">
        <v>261</v>
      </c>
      <c r="M1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0" s="67"/>
      <c r="O170" t="s">
        <v>484</v>
      </c>
      <c r="P170" s="73">
        <v>44606.5678125</v>
      </c>
      <c r="Q170" t="s">
        <v>652</v>
      </c>
      <c r="R170">
        <v>0</v>
      </c>
      <c r="S170">
        <v>0</v>
      </c>
      <c r="T170">
        <v>0</v>
      </c>
      <c r="U170">
        <v>0</v>
      </c>
      <c r="AC170" s="74" t="s">
        <v>789</v>
      </c>
      <c r="AD170" t="s">
        <v>794</v>
      </c>
      <c r="AE170" s="75" t="str">
        <f>HYPERLINK("https://twitter.com/pmf_qu/status/1493217880342601728")</f>
        <v>https://twitter.com/pmf_qu/status/1493217880342601728</v>
      </c>
      <c r="AF170" s="73">
        <v>44606.5678125</v>
      </c>
      <c r="AG170" s="77">
        <v>44606</v>
      </c>
      <c r="AH170" s="74" t="s">
        <v>966</v>
      </c>
      <c r="AV170" s="75" t="str">
        <f>HYPERLINK("https://abs.twimg.com/sticky/default_profile_images/default_profile_normal.png")</f>
        <v>https://abs.twimg.com/sticky/default_profile_images/default_profile_normal.png</v>
      </c>
      <c r="AW170" s="74" t="s">
        <v>1193</v>
      </c>
      <c r="AX170" s="74" t="s">
        <v>1193</v>
      </c>
      <c r="AZ170" s="74" t="s">
        <v>1384</v>
      </c>
      <c r="BA170" s="74" t="s">
        <v>1192</v>
      </c>
      <c r="BB170" s="74" t="s">
        <v>1384</v>
      </c>
      <c r="BC170" s="74" t="s">
        <v>1192</v>
      </c>
      <c r="BD170" s="74" t="s">
        <v>1474</v>
      </c>
      <c r="BJ170" s="44">
        <v>3</v>
      </c>
      <c r="BK170" s="45">
        <v>37.5</v>
      </c>
      <c r="BL170" s="44">
        <v>0</v>
      </c>
      <c r="BM170" s="45">
        <v>0</v>
      </c>
      <c r="BN170" s="44">
        <v>0</v>
      </c>
      <c r="BO170" s="45">
        <v>0</v>
      </c>
      <c r="BP170" s="44">
        <v>5</v>
      </c>
      <c r="BQ170" s="45">
        <v>62.5</v>
      </c>
      <c r="BR170" s="44">
        <v>8</v>
      </c>
      <c r="BS170">
        <v>1</v>
      </c>
      <c r="BT170" s="112" t="str">
        <f>REPLACE(INDEX(GroupVertices[Group],MATCH("~"&amp;Edges37[[#This Row],[Vertex 1]],GroupVertices[Vertex],0)),1,1,"")</f>
        <v>5</v>
      </c>
      <c r="BU170" s="112" t="str">
        <f>REPLACE(INDEX(GroupVertices[Group],MATCH("~"&amp;Edges37[[#This Row],[Vertex 2]],GroupVertices[Vertex],0)),1,1,"")</f>
        <v>5</v>
      </c>
    </row>
    <row r="171" spans="1:73" ht="15">
      <c r="A171" s="59" t="s">
        <v>331</v>
      </c>
      <c r="B171" s="59" t="s">
        <v>331</v>
      </c>
      <c r="C171" s="60"/>
      <c r="D171" s="61"/>
      <c r="E171" s="62"/>
      <c r="F171" s="63"/>
      <c r="G171" s="60"/>
      <c r="H171" s="64"/>
      <c r="I171" s="65"/>
      <c r="J171" s="65"/>
      <c r="K171" s="30" t="s">
        <v>65</v>
      </c>
      <c r="L171" s="72">
        <v>262</v>
      </c>
      <c r="M1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1" s="67"/>
      <c r="O171" t="s">
        <v>177</v>
      </c>
      <c r="P171" s="73">
        <v>44603.16322916667</v>
      </c>
      <c r="Q171" t="s">
        <v>653</v>
      </c>
      <c r="R171">
        <v>725</v>
      </c>
      <c r="S171">
        <v>1900</v>
      </c>
      <c r="T171">
        <v>329</v>
      </c>
      <c r="U171">
        <v>137</v>
      </c>
      <c r="X171" s="75" t="str">
        <f>HYPERLINK("https://travel.detik.com/travel-news/d-5934657/turis-perdana-ke-bali-dibiayai-kemenparekraf-garuda-dan-hotel")</f>
        <v>https://travel.detik.com/travel-news/d-5934657/turis-perdana-ke-bali-dibiayai-kemenparekraf-garuda-dan-hotel</v>
      </c>
      <c r="Y171" t="s">
        <v>712</v>
      </c>
      <c r="AC171" s="74" t="s">
        <v>787</v>
      </c>
      <c r="AD171" t="s">
        <v>794</v>
      </c>
      <c r="AE171" s="75" t="str">
        <f>HYPERLINK("https://twitter.com/alvinlie21/status/1491984099606556677")</f>
        <v>https://twitter.com/alvinlie21/status/1491984099606556677</v>
      </c>
      <c r="AF171" s="73">
        <v>44603.16322916667</v>
      </c>
      <c r="AG171" s="77">
        <v>44603</v>
      </c>
      <c r="AH171" s="74" t="s">
        <v>967</v>
      </c>
      <c r="AI171" t="b">
        <v>0</v>
      </c>
      <c r="AV171" s="75" t="str">
        <f>HYPERLINK("https://pbs.twimg.com/profile_images/744161620062941185/L4pSOdwB_normal.jpg")</f>
        <v>https://pbs.twimg.com/profile_images/744161620062941185/L4pSOdwB_normal.jpg</v>
      </c>
      <c r="AW171" s="74" t="s">
        <v>1194</v>
      </c>
      <c r="AX171" s="74" t="s">
        <v>1194</v>
      </c>
      <c r="AZ171" s="74" t="s">
        <v>1384</v>
      </c>
      <c r="BA171" s="74" t="s">
        <v>1384</v>
      </c>
      <c r="BB171" s="74" t="s">
        <v>1384</v>
      </c>
      <c r="BC171" s="74" t="s">
        <v>1194</v>
      </c>
      <c r="BD171">
        <v>30648872</v>
      </c>
      <c r="BJ171" s="44">
        <v>0</v>
      </c>
      <c r="BK171" s="45">
        <v>0</v>
      </c>
      <c r="BL171" s="44">
        <v>0</v>
      </c>
      <c r="BM171" s="45">
        <v>0</v>
      </c>
      <c r="BN171" s="44">
        <v>0</v>
      </c>
      <c r="BO171" s="45">
        <v>0</v>
      </c>
      <c r="BP171" s="44">
        <v>10</v>
      </c>
      <c r="BQ171" s="45">
        <v>100</v>
      </c>
      <c r="BR171" s="44">
        <v>10</v>
      </c>
      <c r="BS171">
        <v>1</v>
      </c>
      <c r="BT171" s="112" t="str">
        <f>REPLACE(INDEX(GroupVertices[Group],MATCH("~"&amp;Edges37[[#This Row],[Vertex 1]],GroupVertices[Vertex],0)),1,1,"")</f>
        <v>5</v>
      </c>
      <c r="BU171" s="112" t="str">
        <f>REPLACE(INDEX(GroupVertices[Group],MATCH("~"&amp;Edges37[[#This Row],[Vertex 2]],GroupVertices[Vertex],0)),1,1,"")</f>
        <v>5</v>
      </c>
    </row>
    <row r="172" spans="1:73" ht="15">
      <c r="A172" s="59" t="s">
        <v>329</v>
      </c>
      <c r="B172" s="59" t="s">
        <v>331</v>
      </c>
      <c r="C172" s="60"/>
      <c r="D172" s="61"/>
      <c r="E172" s="62"/>
      <c r="F172" s="63"/>
      <c r="G172" s="60"/>
      <c r="H172" s="64"/>
      <c r="I172" s="65"/>
      <c r="J172" s="65"/>
      <c r="K172" s="30" t="s">
        <v>65</v>
      </c>
      <c r="L172" s="72">
        <v>263</v>
      </c>
      <c r="M1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2" s="67"/>
      <c r="O172" t="s">
        <v>484</v>
      </c>
      <c r="P172" s="73">
        <v>44603.275347222225</v>
      </c>
      <c r="Q172" t="s">
        <v>654</v>
      </c>
      <c r="R172">
        <v>0</v>
      </c>
      <c r="S172">
        <v>0</v>
      </c>
      <c r="T172">
        <v>0</v>
      </c>
      <c r="U172">
        <v>0</v>
      </c>
      <c r="W172" s="74" t="s">
        <v>682</v>
      </c>
      <c r="AC172" s="74" t="s">
        <v>789</v>
      </c>
      <c r="AD172" t="s">
        <v>794</v>
      </c>
      <c r="AE172" s="75" t="str">
        <f>HYPERLINK("https://twitter.com/pmf_qu/status/1492024728638267393")</f>
        <v>https://twitter.com/pmf_qu/status/1492024728638267393</v>
      </c>
      <c r="AF172" s="73">
        <v>44603.275347222225</v>
      </c>
      <c r="AG172" s="77">
        <v>44603</v>
      </c>
      <c r="AH172" s="74" t="s">
        <v>968</v>
      </c>
      <c r="AV172" s="75" t="str">
        <f>HYPERLINK("https://abs.twimg.com/sticky/default_profile_images/default_profile_normal.png")</f>
        <v>https://abs.twimg.com/sticky/default_profile_images/default_profile_normal.png</v>
      </c>
      <c r="AW172" s="74" t="s">
        <v>1195</v>
      </c>
      <c r="AX172" s="74" t="s">
        <v>1195</v>
      </c>
      <c r="AZ172" s="74" t="s">
        <v>1384</v>
      </c>
      <c r="BA172" s="74" t="s">
        <v>1194</v>
      </c>
      <c r="BB172" s="74" t="s">
        <v>1384</v>
      </c>
      <c r="BC172" s="74" t="s">
        <v>1194</v>
      </c>
      <c r="BD172" s="74" t="s">
        <v>1474</v>
      </c>
      <c r="BJ172" s="44">
        <v>1</v>
      </c>
      <c r="BK172" s="45">
        <v>14.285714285714286</v>
      </c>
      <c r="BL172" s="44">
        <v>0</v>
      </c>
      <c r="BM172" s="45">
        <v>0</v>
      </c>
      <c r="BN172" s="44">
        <v>0</v>
      </c>
      <c r="BO172" s="45">
        <v>0</v>
      </c>
      <c r="BP172" s="44">
        <v>6</v>
      </c>
      <c r="BQ172" s="45">
        <v>85.71428571428571</v>
      </c>
      <c r="BR172" s="44">
        <v>7</v>
      </c>
      <c r="BS172">
        <v>1</v>
      </c>
      <c r="BT172" s="112" t="str">
        <f>REPLACE(INDEX(GroupVertices[Group],MATCH("~"&amp;Edges37[[#This Row],[Vertex 1]],GroupVertices[Vertex],0)),1,1,"")</f>
        <v>5</v>
      </c>
      <c r="BU172" s="112" t="str">
        <f>REPLACE(INDEX(GroupVertices[Group],MATCH("~"&amp;Edges37[[#This Row],[Vertex 2]],GroupVertices[Vertex],0)),1,1,"")</f>
        <v>5</v>
      </c>
    </row>
    <row r="173" spans="1:73" ht="15">
      <c r="A173" s="59" t="s">
        <v>332</v>
      </c>
      <c r="B173" s="59" t="s">
        <v>332</v>
      </c>
      <c r="C173" s="60"/>
      <c r="D173" s="61"/>
      <c r="E173" s="62"/>
      <c r="F173" s="63"/>
      <c r="G173" s="60"/>
      <c r="H173" s="64"/>
      <c r="I173" s="65"/>
      <c r="J173" s="65"/>
      <c r="K173" s="30" t="s">
        <v>65</v>
      </c>
      <c r="L173" s="72">
        <v>264</v>
      </c>
      <c r="M1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3" s="67"/>
      <c r="O173" t="s">
        <v>177</v>
      </c>
      <c r="P173" s="73">
        <v>44579.40445601852</v>
      </c>
      <c r="Q173" t="s">
        <v>655</v>
      </c>
      <c r="R173">
        <v>848</v>
      </c>
      <c r="S173">
        <v>2932</v>
      </c>
      <c r="T173">
        <v>172</v>
      </c>
      <c r="U173">
        <v>44</v>
      </c>
      <c r="AC173" s="74" t="s">
        <v>787</v>
      </c>
      <c r="AD173" t="s">
        <v>794</v>
      </c>
      <c r="AE173" s="75" t="str">
        <f>HYPERLINK("https://twitter.com/hisyammochtar/status/1483374205899276292")</f>
        <v>https://twitter.com/hisyammochtar/status/1483374205899276292</v>
      </c>
      <c r="AF173" s="73">
        <v>44579.40445601852</v>
      </c>
      <c r="AG173" s="77">
        <v>44579</v>
      </c>
      <c r="AH173" s="74" t="s">
        <v>969</v>
      </c>
      <c r="AV173" s="75" t="str">
        <f>HYPERLINK("https://pbs.twimg.com/profile_images/853071593538437120/yiK-9syp_normal.jpg")</f>
        <v>https://pbs.twimg.com/profile_images/853071593538437120/yiK-9syp_normal.jpg</v>
      </c>
      <c r="AW173" s="74" t="s">
        <v>1196</v>
      </c>
      <c r="AX173" s="74" t="s">
        <v>1196</v>
      </c>
      <c r="AZ173" s="74" t="s">
        <v>1384</v>
      </c>
      <c r="BA173" s="74" t="s">
        <v>1384</v>
      </c>
      <c r="BB173" s="74" t="s">
        <v>1384</v>
      </c>
      <c r="BC173" s="74" t="s">
        <v>1196</v>
      </c>
      <c r="BD173" s="74" t="s">
        <v>1475</v>
      </c>
      <c r="BJ173" s="44">
        <v>1</v>
      </c>
      <c r="BK173" s="45">
        <v>3.0303030303030303</v>
      </c>
      <c r="BL173" s="44">
        <v>0</v>
      </c>
      <c r="BM173" s="45">
        <v>0</v>
      </c>
      <c r="BN173" s="44">
        <v>0</v>
      </c>
      <c r="BO173" s="45">
        <v>0</v>
      </c>
      <c r="BP173" s="44">
        <v>32</v>
      </c>
      <c r="BQ173" s="45">
        <v>96.96969696969697</v>
      </c>
      <c r="BR173" s="44">
        <v>33</v>
      </c>
      <c r="BS173">
        <v>1</v>
      </c>
      <c r="BT173" s="112" t="str">
        <f>REPLACE(INDEX(GroupVertices[Group],MATCH("~"&amp;Edges37[[#This Row],[Vertex 1]],GroupVertices[Vertex],0)),1,1,"")</f>
        <v>5</v>
      </c>
      <c r="BU173" s="112" t="str">
        <f>REPLACE(INDEX(GroupVertices[Group],MATCH("~"&amp;Edges37[[#This Row],[Vertex 2]],GroupVertices[Vertex],0)),1,1,"")</f>
        <v>5</v>
      </c>
    </row>
    <row r="174" spans="1:73" ht="15">
      <c r="A174" s="59" t="s">
        <v>329</v>
      </c>
      <c r="B174" s="59" t="s">
        <v>332</v>
      </c>
      <c r="C174" s="60"/>
      <c r="D174" s="61"/>
      <c r="E174" s="62"/>
      <c r="F174" s="63"/>
      <c r="G174" s="60"/>
      <c r="H174" s="64"/>
      <c r="I174" s="65"/>
      <c r="J174" s="65"/>
      <c r="K174" s="30" t="s">
        <v>65</v>
      </c>
      <c r="L174" s="72">
        <v>265</v>
      </c>
      <c r="M1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4" s="67"/>
      <c r="O174" t="s">
        <v>484</v>
      </c>
      <c r="P174" s="73">
        <v>44580.0378587963</v>
      </c>
      <c r="Q174" t="s">
        <v>656</v>
      </c>
      <c r="R174">
        <v>0</v>
      </c>
      <c r="S174">
        <v>1</v>
      </c>
      <c r="T174">
        <v>0</v>
      </c>
      <c r="U174">
        <v>0</v>
      </c>
      <c r="W174" s="74" t="s">
        <v>705</v>
      </c>
      <c r="AC174" s="74" t="s">
        <v>789</v>
      </c>
      <c r="AD174" t="s">
        <v>794</v>
      </c>
      <c r="AE174" s="75" t="str">
        <f>HYPERLINK("https://twitter.com/pmf_qu/status/1483603743010856960")</f>
        <v>https://twitter.com/pmf_qu/status/1483603743010856960</v>
      </c>
      <c r="AF174" s="73">
        <v>44580.0378587963</v>
      </c>
      <c r="AG174" s="77">
        <v>44580</v>
      </c>
      <c r="AH174" s="74" t="s">
        <v>970</v>
      </c>
      <c r="AV174" s="75" t="str">
        <f>HYPERLINK("https://abs.twimg.com/sticky/default_profile_images/default_profile_normal.png")</f>
        <v>https://abs.twimg.com/sticky/default_profile_images/default_profile_normal.png</v>
      </c>
      <c r="AW174" s="74" t="s">
        <v>1197</v>
      </c>
      <c r="AX174" s="74" t="s">
        <v>1197</v>
      </c>
      <c r="AZ174" s="74" t="s">
        <v>1384</v>
      </c>
      <c r="BA174" s="74" t="s">
        <v>1196</v>
      </c>
      <c r="BB174" s="74" t="s">
        <v>1384</v>
      </c>
      <c r="BC174" s="74" t="s">
        <v>1196</v>
      </c>
      <c r="BD174" s="74" t="s">
        <v>1474</v>
      </c>
      <c r="BJ174" s="44">
        <v>4</v>
      </c>
      <c r="BK174" s="45">
        <v>36.36363636363637</v>
      </c>
      <c r="BL174" s="44">
        <v>1</v>
      </c>
      <c r="BM174" s="45">
        <v>9.090909090909092</v>
      </c>
      <c r="BN174" s="44">
        <v>0</v>
      </c>
      <c r="BO174" s="45">
        <v>0</v>
      </c>
      <c r="BP174" s="44">
        <v>6</v>
      </c>
      <c r="BQ174" s="45">
        <v>54.54545454545455</v>
      </c>
      <c r="BR174" s="44">
        <v>11</v>
      </c>
      <c r="BS174">
        <v>1</v>
      </c>
      <c r="BT174" s="112" t="str">
        <f>REPLACE(INDEX(GroupVertices[Group],MATCH("~"&amp;Edges37[[#This Row],[Vertex 1]],GroupVertices[Vertex],0)),1,1,"")</f>
        <v>5</v>
      </c>
      <c r="BU174" s="112" t="str">
        <f>REPLACE(INDEX(GroupVertices[Group],MATCH("~"&amp;Edges37[[#This Row],[Vertex 2]],GroupVertices[Vertex],0)),1,1,"")</f>
        <v>5</v>
      </c>
    </row>
    <row r="175" spans="1:73" ht="15">
      <c r="A175" s="59" t="s">
        <v>329</v>
      </c>
      <c r="B175" s="59" t="s">
        <v>478</v>
      </c>
      <c r="C175" s="60"/>
      <c r="D175" s="61"/>
      <c r="E175" s="62"/>
      <c r="F175" s="63"/>
      <c r="G175" s="60"/>
      <c r="H175" s="64"/>
      <c r="I175" s="65"/>
      <c r="J175" s="65"/>
      <c r="K175" s="30" t="s">
        <v>65</v>
      </c>
      <c r="L175" s="72">
        <v>266</v>
      </c>
      <c r="M1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5" s="67"/>
      <c r="O175" t="s">
        <v>484</v>
      </c>
      <c r="P175" s="73">
        <v>44609.67208333333</v>
      </c>
      <c r="Q175" t="s">
        <v>657</v>
      </c>
      <c r="R175">
        <v>0</v>
      </c>
      <c r="S175">
        <v>0</v>
      </c>
      <c r="T175">
        <v>0</v>
      </c>
      <c r="U175">
        <v>0</v>
      </c>
      <c r="W175" s="74" t="s">
        <v>682</v>
      </c>
      <c r="AC175" s="74" t="s">
        <v>789</v>
      </c>
      <c r="AD175" t="s">
        <v>794</v>
      </c>
      <c r="AE175" s="75" t="str">
        <f>HYPERLINK("https://twitter.com/pmf_qu/status/1494342829920845830")</f>
        <v>https://twitter.com/pmf_qu/status/1494342829920845830</v>
      </c>
      <c r="AF175" s="73">
        <v>44609.67208333333</v>
      </c>
      <c r="AG175" s="77">
        <v>44609</v>
      </c>
      <c r="AH175" s="74" t="s">
        <v>971</v>
      </c>
      <c r="AV175" s="75" t="str">
        <f>HYPERLINK("https://abs.twimg.com/sticky/default_profile_images/default_profile_normal.png")</f>
        <v>https://abs.twimg.com/sticky/default_profile_images/default_profile_normal.png</v>
      </c>
      <c r="AW175" s="74" t="s">
        <v>1198</v>
      </c>
      <c r="AX175" s="74" t="s">
        <v>1198</v>
      </c>
      <c r="AZ175" s="74" t="s">
        <v>1384</v>
      </c>
      <c r="BA175" s="74" t="s">
        <v>1401</v>
      </c>
      <c r="BB175" s="74" t="s">
        <v>1384</v>
      </c>
      <c r="BC175" s="74" t="s">
        <v>1401</v>
      </c>
      <c r="BD175" s="74" t="s">
        <v>1474</v>
      </c>
      <c r="BJ175" s="44">
        <v>3</v>
      </c>
      <c r="BK175" s="45">
        <v>25</v>
      </c>
      <c r="BL175" s="44">
        <v>0</v>
      </c>
      <c r="BM175" s="45">
        <v>0</v>
      </c>
      <c r="BN175" s="44">
        <v>0</v>
      </c>
      <c r="BO175" s="45">
        <v>0</v>
      </c>
      <c r="BP175" s="44">
        <v>9</v>
      </c>
      <c r="BQ175" s="45">
        <v>75</v>
      </c>
      <c r="BR175" s="44">
        <v>12</v>
      </c>
      <c r="BS175">
        <v>1</v>
      </c>
      <c r="BT175" s="112" t="str">
        <f>REPLACE(INDEX(GroupVertices[Group],MATCH("~"&amp;Edges37[[#This Row],[Vertex 1]],GroupVertices[Vertex],0)),1,1,"")</f>
        <v>5</v>
      </c>
      <c r="BU175" s="112" t="str">
        <f>REPLACE(INDEX(GroupVertices[Group],MATCH("~"&amp;Edges37[[#This Row],[Vertex 2]],GroupVertices[Vertex],0)),1,1,"")</f>
        <v>5</v>
      </c>
    </row>
    <row r="176" spans="1:73" ht="15">
      <c r="A176" s="59" t="s">
        <v>329</v>
      </c>
      <c r="B176" s="59" t="s">
        <v>479</v>
      </c>
      <c r="C176" s="60"/>
      <c r="D176" s="61"/>
      <c r="E176" s="62"/>
      <c r="F176" s="63"/>
      <c r="G176" s="60"/>
      <c r="H176" s="64"/>
      <c r="I176" s="65"/>
      <c r="J176" s="65"/>
      <c r="K176" s="30" t="s">
        <v>65</v>
      </c>
      <c r="L176" s="72">
        <v>267</v>
      </c>
      <c r="M1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6" s="67"/>
      <c r="O176" t="s">
        <v>484</v>
      </c>
      <c r="P176" s="73">
        <v>44580.041446759256</v>
      </c>
      <c r="Q176" t="s">
        <v>658</v>
      </c>
      <c r="R176">
        <v>0</v>
      </c>
      <c r="S176">
        <v>0</v>
      </c>
      <c r="T176">
        <v>0</v>
      </c>
      <c r="U176">
        <v>0</v>
      </c>
      <c r="W176" s="74" t="s">
        <v>682</v>
      </c>
      <c r="AC176" s="74" t="s">
        <v>789</v>
      </c>
      <c r="AD176" t="s">
        <v>794</v>
      </c>
      <c r="AE176" s="75" t="str">
        <f>HYPERLINK("https://twitter.com/pmf_qu/status/1483605045338046467")</f>
        <v>https://twitter.com/pmf_qu/status/1483605045338046467</v>
      </c>
      <c r="AF176" s="73">
        <v>44580.041446759256</v>
      </c>
      <c r="AG176" s="77">
        <v>44580</v>
      </c>
      <c r="AH176" s="74" t="s">
        <v>972</v>
      </c>
      <c r="AV176" s="75" t="str">
        <f>HYPERLINK("https://abs.twimg.com/sticky/default_profile_images/default_profile_normal.png")</f>
        <v>https://abs.twimg.com/sticky/default_profile_images/default_profile_normal.png</v>
      </c>
      <c r="AW176" s="74" t="s">
        <v>1199</v>
      </c>
      <c r="AX176" s="74" t="s">
        <v>1199</v>
      </c>
      <c r="AZ176" s="74" t="s">
        <v>1384</v>
      </c>
      <c r="BA176" s="74" t="s">
        <v>1402</v>
      </c>
      <c r="BB176" s="74" t="s">
        <v>1384</v>
      </c>
      <c r="BC176" s="74" t="s">
        <v>1402</v>
      </c>
      <c r="BD176" s="74" t="s">
        <v>1474</v>
      </c>
      <c r="BJ176" s="44">
        <v>0</v>
      </c>
      <c r="BK176" s="45">
        <v>0</v>
      </c>
      <c r="BL176" s="44">
        <v>2</v>
      </c>
      <c r="BM176" s="45">
        <v>33.333333333333336</v>
      </c>
      <c r="BN176" s="44">
        <v>0</v>
      </c>
      <c r="BO176" s="45">
        <v>0</v>
      </c>
      <c r="BP176" s="44">
        <v>4</v>
      </c>
      <c r="BQ176" s="45">
        <v>66.66666666666667</v>
      </c>
      <c r="BR176" s="44">
        <v>6</v>
      </c>
      <c r="BS176">
        <v>1</v>
      </c>
      <c r="BT176" s="112" t="str">
        <f>REPLACE(INDEX(GroupVertices[Group],MATCH("~"&amp;Edges37[[#This Row],[Vertex 1]],GroupVertices[Vertex],0)),1,1,"")</f>
        <v>5</v>
      </c>
      <c r="BU176" s="112" t="str">
        <f>REPLACE(INDEX(GroupVertices[Group],MATCH("~"&amp;Edges37[[#This Row],[Vertex 2]],GroupVertices[Vertex],0)),1,1,"")</f>
        <v>5</v>
      </c>
    </row>
    <row r="177" spans="1:73" ht="15">
      <c r="A177" s="59" t="s">
        <v>329</v>
      </c>
      <c r="B177" s="59" t="s">
        <v>270</v>
      </c>
      <c r="C177" s="60"/>
      <c r="D177" s="61"/>
      <c r="E177" s="62"/>
      <c r="F177" s="63"/>
      <c r="G177" s="60"/>
      <c r="H177" s="64"/>
      <c r="I177" s="65"/>
      <c r="J177" s="65"/>
      <c r="K177" s="30" t="s">
        <v>65</v>
      </c>
      <c r="L177" s="72">
        <v>268</v>
      </c>
      <c r="M1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7" s="67"/>
      <c r="O177" t="s">
        <v>484</v>
      </c>
      <c r="P177" s="73">
        <v>44580.039143518516</v>
      </c>
      <c r="Q177" t="s">
        <v>659</v>
      </c>
      <c r="R177">
        <v>0</v>
      </c>
      <c r="S177">
        <v>0</v>
      </c>
      <c r="T177">
        <v>0</v>
      </c>
      <c r="U177">
        <v>0</v>
      </c>
      <c r="W177" s="74" t="s">
        <v>705</v>
      </c>
      <c r="AC177" s="74" t="s">
        <v>789</v>
      </c>
      <c r="AD177" t="s">
        <v>794</v>
      </c>
      <c r="AE177" s="75" t="str">
        <f>HYPERLINK("https://twitter.com/pmf_qu/status/1483604211107774464")</f>
        <v>https://twitter.com/pmf_qu/status/1483604211107774464</v>
      </c>
      <c r="AF177" s="73">
        <v>44580.039143518516</v>
      </c>
      <c r="AG177" s="77">
        <v>44580</v>
      </c>
      <c r="AH177" s="74" t="s">
        <v>973</v>
      </c>
      <c r="AV177" s="75" t="str">
        <f>HYPERLINK("https://abs.twimg.com/sticky/default_profile_images/default_profile_normal.png")</f>
        <v>https://abs.twimg.com/sticky/default_profile_images/default_profile_normal.png</v>
      </c>
      <c r="AW177" s="74" t="s">
        <v>1200</v>
      </c>
      <c r="AX177" s="74" t="s">
        <v>1200</v>
      </c>
      <c r="AZ177" s="74" t="s">
        <v>1384</v>
      </c>
      <c r="BA177" s="74" t="s">
        <v>1104</v>
      </c>
      <c r="BB177" s="74" t="s">
        <v>1384</v>
      </c>
      <c r="BC177" s="74" t="s">
        <v>1104</v>
      </c>
      <c r="BD177" s="74" t="s">
        <v>1474</v>
      </c>
      <c r="BJ177" s="44">
        <v>4</v>
      </c>
      <c r="BK177" s="45">
        <v>40</v>
      </c>
      <c r="BL177" s="44">
        <v>1</v>
      </c>
      <c r="BM177" s="45">
        <v>10</v>
      </c>
      <c r="BN177" s="44">
        <v>0</v>
      </c>
      <c r="BO177" s="45">
        <v>0</v>
      </c>
      <c r="BP177" s="44">
        <v>5</v>
      </c>
      <c r="BQ177" s="45">
        <v>50</v>
      </c>
      <c r="BR177" s="44">
        <v>10</v>
      </c>
      <c r="BS177">
        <v>1</v>
      </c>
      <c r="BT177" s="112" t="str">
        <f>REPLACE(INDEX(GroupVertices[Group],MATCH("~"&amp;Edges37[[#This Row],[Vertex 1]],GroupVertices[Vertex],0)),1,1,"")</f>
        <v>5</v>
      </c>
      <c r="BU177" s="112" t="str">
        <f>REPLACE(INDEX(GroupVertices[Group],MATCH("~"&amp;Edges37[[#This Row],[Vertex 2]],GroupVertices[Vertex],0)),1,1,"")</f>
        <v>10</v>
      </c>
    </row>
    <row r="178" spans="1:73" ht="15">
      <c r="A178" s="59" t="s">
        <v>333</v>
      </c>
      <c r="B178" s="59" t="s">
        <v>333</v>
      </c>
      <c r="C178" s="60"/>
      <c r="D178" s="61"/>
      <c r="E178" s="62"/>
      <c r="F178" s="63"/>
      <c r="G178" s="60"/>
      <c r="H178" s="64"/>
      <c r="I178" s="65"/>
      <c r="J178" s="65"/>
      <c r="K178" s="30" t="s">
        <v>65</v>
      </c>
      <c r="L178" s="72">
        <v>269</v>
      </c>
      <c r="M1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8" s="67"/>
      <c r="O178" t="s">
        <v>177</v>
      </c>
      <c r="P178" s="73">
        <v>44580.092210648145</v>
      </c>
      <c r="Q178" t="s">
        <v>660</v>
      </c>
      <c r="R178">
        <v>77</v>
      </c>
      <c r="S178">
        <v>370</v>
      </c>
      <c r="T178">
        <v>241</v>
      </c>
      <c r="U178">
        <v>43</v>
      </c>
      <c r="X178" s="75" t="str">
        <f>HYPERLINK("https://arahjaya.com/2019/07/26/rakyat-tidak-setuju-ibukota-negara-pindah-sosiolog-beri-solusi/")</f>
        <v>https://arahjaya.com/2019/07/26/rakyat-tidak-setuju-ibukota-negara-pindah-sosiolog-beri-solusi/</v>
      </c>
      <c r="Y178" t="s">
        <v>721</v>
      </c>
      <c r="AC178" s="74" t="s">
        <v>787</v>
      </c>
      <c r="AD178" t="s">
        <v>794</v>
      </c>
      <c r="AE178" s="75" t="str">
        <f>HYPERLINK("https://twitter.com/musniumar/status/1483623443170209793")</f>
        <v>https://twitter.com/musniumar/status/1483623443170209793</v>
      </c>
      <c r="AF178" s="73">
        <v>44580.092210648145</v>
      </c>
      <c r="AG178" s="77">
        <v>44580</v>
      </c>
      <c r="AH178" s="74" t="s">
        <v>974</v>
      </c>
      <c r="AI178" t="b">
        <v>0</v>
      </c>
      <c r="AV178" s="75" t="str">
        <f>HYPERLINK("https://pbs.twimg.com/profile_images/1149965232657162240/zduaogzZ_normal.jpg")</f>
        <v>https://pbs.twimg.com/profile_images/1149965232657162240/zduaogzZ_normal.jpg</v>
      </c>
      <c r="AW178" s="74" t="s">
        <v>1201</v>
      </c>
      <c r="AX178" s="74" t="s">
        <v>1201</v>
      </c>
      <c r="AZ178" s="74" t="s">
        <v>1384</v>
      </c>
      <c r="BA178" s="74" t="s">
        <v>1384</v>
      </c>
      <c r="BB178" s="74" t="s">
        <v>1384</v>
      </c>
      <c r="BC178" s="74" t="s">
        <v>1201</v>
      </c>
      <c r="BD178">
        <v>114697372</v>
      </c>
      <c r="BJ178" s="44">
        <v>0</v>
      </c>
      <c r="BK178" s="45">
        <v>0</v>
      </c>
      <c r="BL178" s="44">
        <v>0</v>
      </c>
      <c r="BM178" s="45">
        <v>0</v>
      </c>
      <c r="BN178" s="44">
        <v>0</v>
      </c>
      <c r="BO178" s="45">
        <v>0</v>
      </c>
      <c r="BP178" s="44">
        <v>39</v>
      </c>
      <c r="BQ178" s="45">
        <v>100</v>
      </c>
      <c r="BR178" s="44">
        <v>39</v>
      </c>
      <c r="BS178">
        <v>1</v>
      </c>
      <c r="BT178" s="112" t="str">
        <f>REPLACE(INDEX(GroupVertices[Group],MATCH("~"&amp;Edges37[[#This Row],[Vertex 1]],GroupVertices[Vertex],0)),1,1,"")</f>
        <v>12</v>
      </c>
      <c r="BU178" s="112" t="str">
        <f>REPLACE(INDEX(GroupVertices[Group],MATCH("~"&amp;Edges37[[#This Row],[Vertex 2]],GroupVertices[Vertex],0)),1,1,"")</f>
        <v>12</v>
      </c>
    </row>
    <row r="179" spans="1:73" ht="15">
      <c r="A179" s="59" t="s">
        <v>329</v>
      </c>
      <c r="B179" s="59" t="s">
        <v>333</v>
      </c>
      <c r="C179" s="60"/>
      <c r="D179" s="61"/>
      <c r="E179" s="62"/>
      <c r="F179" s="63"/>
      <c r="G179" s="60"/>
      <c r="H179" s="64"/>
      <c r="I179" s="65"/>
      <c r="J179" s="65"/>
      <c r="K179" s="30" t="s">
        <v>65</v>
      </c>
      <c r="L179" s="72">
        <v>270</v>
      </c>
      <c r="M1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9" s="67"/>
      <c r="O179" t="s">
        <v>484</v>
      </c>
      <c r="P179" s="73">
        <v>44580.4971875</v>
      </c>
      <c r="Q179" t="s">
        <v>661</v>
      </c>
      <c r="R179">
        <v>0</v>
      </c>
      <c r="S179">
        <v>0</v>
      </c>
      <c r="T179">
        <v>0</v>
      </c>
      <c r="U179">
        <v>0</v>
      </c>
      <c r="AC179" s="74" t="s">
        <v>789</v>
      </c>
      <c r="AD179" t="s">
        <v>794</v>
      </c>
      <c r="AE179" s="75" t="str">
        <f>HYPERLINK("https://twitter.com/pmf_qu/status/1483770199484829698")</f>
        <v>https://twitter.com/pmf_qu/status/1483770199484829698</v>
      </c>
      <c r="AF179" s="73">
        <v>44580.4971875</v>
      </c>
      <c r="AG179" s="77">
        <v>44580</v>
      </c>
      <c r="AH179" s="74" t="s">
        <v>975</v>
      </c>
      <c r="AV179" s="75" t="str">
        <f>HYPERLINK("https://abs.twimg.com/sticky/default_profile_images/default_profile_normal.png")</f>
        <v>https://abs.twimg.com/sticky/default_profile_images/default_profile_normal.png</v>
      </c>
      <c r="AW179" s="74" t="s">
        <v>1202</v>
      </c>
      <c r="AX179" s="74" t="s">
        <v>1202</v>
      </c>
      <c r="AZ179" s="74" t="s">
        <v>1384</v>
      </c>
      <c r="BA179" s="74" t="s">
        <v>1201</v>
      </c>
      <c r="BB179" s="74" t="s">
        <v>1384</v>
      </c>
      <c r="BC179" s="74" t="s">
        <v>1201</v>
      </c>
      <c r="BD179" s="74" t="s">
        <v>1474</v>
      </c>
      <c r="BJ179" s="44">
        <v>4</v>
      </c>
      <c r="BK179" s="45">
        <v>14.814814814814815</v>
      </c>
      <c r="BL179" s="44">
        <v>0</v>
      </c>
      <c r="BM179" s="45">
        <v>0</v>
      </c>
      <c r="BN179" s="44">
        <v>0</v>
      </c>
      <c r="BO179" s="45">
        <v>0</v>
      </c>
      <c r="BP179" s="44">
        <v>23</v>
      </c>
      <c r="BQ179" s="45">
        <v>85.18518518518519</v>
      </c>
      <c r="BR179" s="44">
        <v>27</v>
      </c>
      <c r="BS179">
        <v>1</v>
      </c>
      <c r="BT179" s="112" t="str">
        <f>REPLACE(INDEX(GroupVertices[Group],MATCH("~"&amp;Edges37[[#This Row],[Vertex 1]],GroupVertices[Vertex],0)),1,1,"")</f>
        <v>5</v>
      </c>
      <c r="BU179" s="112" t="str">
        <f>REPLACE(INDEX(GroupVertices[Group],MATCH("~"&amp;Edges37[[#This Row],[Vertex 2]],GroupVertices[Vertex],0)),1,1,"")</f>
        <v>12</v>
      </c>
    </row>
    <row r="180" spans="1:73" ht="15">
      <c r="A180" s="59" t="s">
        <v>334</v>
      </c>
      <c r="B180" s="59" t="s">
        <v>334</v>
      </c>
      <c r="C180" s="60"/>
      <c r="D180" s="61"/>
      <c r="E180" s="62"/>
      <c r="F180" s="63"/>
      <c r="G180" s="60"/>
      <c r="H180" s="64"/>
      <c r="I180" s="65"/>
      <c r="J180" s="65"/>
      <c r="K180" s="30" t="s">
        <v>65</v>
      </c>
      <c r="L180" s="72">
        <v>271</v>
      </c>
      <c r="M1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0" s="67"/>
      <c r="O180" t="s">
        <v>177</v>
      </c>
      <c r="P180" s="73">
        <v>44605.65584490741</v>
      </c>
      <c r="Q180" t="s">
        <v>662</v>
      </c>
      <c r="R180">
        <v>584</v>
      </c>
      <c r="S180">
        <v>2355</v>
      </c>
      <c r="T180">
        <v>203</v>
      </c>
      <c r="U180">
        <v>51</v>
      </c>
      <c r="AC180" s="74" t="s">
        <v>787</v>
      </c>
      <c r="AD180" t="s">
        <v>794</v>
      </c>
      <c r="AE180" s="75" t="str">
        <f>HYPERLINK("https://twitter.com/msaid_didu/status/1492887391253659648")</f>
        <v>https://twitter.com/msaid_didu/status/1492887391253659648</v>
      </c>
      <c r="AF180" s="73">
        <v>44605.65584490741</v>
      </c>
      <c r="AG180" s="77">
        <v>44605</v>
      </c>
      <c r="AH180" s="74" t="s">
        <v>976</v>
      </c>
      <c r="AV180" s="75" t="str">
        <f>HYPERLINK("https://pbs.twimg.com/profile_images/1201299092376129536/YU9oL9TW_normal.jpg")</f>
        <v>https://pbs.twimg.com/profile_images/1201299092376129536/YU9oL9TW_normal.jpg</v>
      </c>
      <c r="AW180" s="74" t="s">
        <v>1203</v>
      </c>
      <c r="AX180" s="74" t="s">
        <v>1203</v>
      </c>
      <c r="AZ180" s="74" t="s">
        <v>1384</v>
      </c>
      <c r="BA180" s="74" t="s">
        <v>1384</v>
      </c>
      <c r="BB180" s="74" t="s">
        <v>1384</v>
      </c>
      <c r="BC180" s="74" t="s">
        <v>1203</v>
      </c>
      <c r="BD180" s="74" t="s">
        <v>1327</v>
      </c>
      <c r="BJ180" s="44">
        <v>2</v>
      </c>
      <c r="BK180" s="45">
        <v>4.761904761904762</v>
      </c>
      <c r="BL180" s="44">
        <v>2</v>
      </c>
      <c r="BM180" s="45">
        <v>4.761904761904762</v>
      </c>
      <c r="BN180" s="44">
        <v>0</v>
      </c>
      <c r="BO180" s="45">
        <v>0</v>
      </c>
      <c r="BP180" s="44">
        <v>38</v>
      </c>
      <c r="BQ180" s="45">
        <v>90.47619047619048</v>
      </c>
      <c r="BR180" s="44">
        <v>42</v>
      </c>
      <c r="BS180">
        <v>1</v>
      </c>
      <c r="BT180" s="112" t="str">
        <f>REPLACE(INDEX(GroupVertices[Group],MATCH("~"&amp;Edges37[[#This Row],[Vertex 1]],GroupVertices[Vertex],0)),1,1,"")</f>
        <v>4</v>
      </c>
      <c r="BU180" s="112" t="str">
        <f>REPLACE(INDEX(GroupVertices[Group],MATCH("~"&amp;Edges37[[#This Row],[Vertex 2]],GroupVertices[Vertex],0)),1,1,"")</f>
        <v>4</v>
      </c>
    </row>
    <row r="181" spans="1:73" ht="15">
      <c r="A181" s="59" t="s">
        <v>329</v>
      </c>
      <c r="B181" s="59" t="s">
        <v>334</v>
      </c>
      <c r="C181" s="60"/>
      <c r="D181" s="61"/>
      <c r="E181" s="62"/>
      <c r="F181" s="63"/>
      <c r="G181" s="60"/>
      <c r="H181" s="64"/>
      <c r="I181" s="65"/>
      <c r="J181" s="65"/>
      <c r="K181" s="30" t="s">
        <v>65</v>
      </c>
      <c r="L181" s="72">
        <v>272</v>
      </c>
      <c r="M1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1" s="67"/>
      <c r="O181" t="s">
        <v>484</v>
      </c>
      <c r="P181" s="73">
        <v>44606.66002314815</v>
      </c>
      <c r="Q181" t="s">
        <v>663</v>
      </c>
      <c r="R181">
        <v>0</v>
      </c>
      <c r="S181">
        <v>0</v>
      </c>
      <c r="T181">
        <v>0</v>
      </c>
      <c r="U181">
        <v>0</v>
      </c>
      <c r="W181" s="74" t="s">
        <v>682</v>
      </c>
      <c r="AC181" s="74" t="s">
        <v>789</v>
      </c>
      <c r="AD181" t="s">
        <v>794</v>
      </c>
      <c r="AE181" s="75" t="str">
        <f>HYPERLINK("https://twitter.com/pmf_qu/status/1493251296039632896")</f>
        <v>https://twitter.com/pmf_qu/status/1493251296039632896</v>
      </c>
      <c r="AF181" s="73">
        <v>44606.66002314815</v>
      </c>
      <c r="AG181" s="77">
        <v>44606</v>
      </c>
      <c r="AH181" s="74" t="s">
        <v>977</v>
      </c>
      <c r="AV181" s="75" t="str">
        <f>HYPERLINK("https://abs.twimg.com/sticky/default_profile_images/default_profile_normal.png")</f>
        <v>https://abs.twimg.com/sticky/default_profile_images/default_profile_normal.png</v>
      </c>
      <c r="AW181" s="74" t="s">
        <v>1204</v>
      </c>
      <c r="AX181" s="74" t="s">
        <v>1204</v>
      </c>
      <c r="AZ181" s="74" t="s">
        <v>1384</v>
      </c>
      <c r="BA181" s="74" t="s">
        <v>1203</v>
      </c>
      <c r="BB181" s="74" t="s">
        <v>1384</v>
      </c>
      <c r="BC181" s="74" t="s">
        <v>1203</v>
      </c>
      <c r="BD181" s="74" t="s">
        <v>1474</v>
      </c>
      <c r="BJ181" s="44">
        <v>2</v>
      </c>
      <c r="BK181" s="45">
        <v>15.384615384615385</v>
      </c>
      <c r="BL181" s="44">
        <v>1</v>
      </c>
      <c r="BM181" s="45">
        <v>7.6923076923076925</v>
      </c>
      <c r="BN181" s="44">
        <v>0</v>
      </c>
      <c r="BO181" s="45">
        <v>0</v>
      </c>
      <c r="BP181" s="44">
        <v>10</v>
      </c>
      <c r="BQ181" s="45">
        <v>76.92307692307692</v>
      </c>
      <c r="BR181" s="44">
        <v>13</v>
      </c>
      <c r="BS181">
        <v>8</v>
      </c>
      <c r="BT181" s="112" t="str">
        <f>REPLACE(INDEX(GroupVertices[Group],MATCH("~"&amp;Edges37[[#This Row],[Vertex 1]],GroupVertices[Vertex],0)),1,1,"")</f>
        <v>5</v>
      </c>
      <c r="BU181" s="112" t="str">
        <f>REPLACE(INDEX(GroupVertices[Group],MATCH("~"&amp;Edges37[[#This Row],[Vertex 2]],GroupVertices[Vertex],0)),1,1,"")</f>
        <v>4</v>
      </c>
    </row>
    <row r="182" spans="1:73" ht="15">
      <c r="A182" s="59" t="s">
        <v>335</v>
      </c>
      <c r="B182" s="59" t="s">
        <v>335</v>
      </c>
      <c r="C182" s="60"/>
      <c r="D182" s="61"/>
      <c r="E182" s="62"/>
      <c r="F182" s="63"/>
      <c r="G182" s="60"/>
      <c r="H182" s="64"/>
      <c r="I182" s="65"/>
      <c r="J182" s="65"/>
      <c r="K182" s="30" t="s">
        <v>65</v>
      </c>
      <c r="L182" s="72">
        <v>273</v>
      </c>
      <c r="M1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2" s="67"/>
      <c r="O182" t="s">
        <v>177</v>
      </c>
      <c r="P182" s="73">
        <v>44606.400555555556</v>
      </c>
      <c r="Q182" t="s">
        <v>664</v>
      </c>
      <c r="R182">
        <v>468</v>
      </c>
      <c r="S182">
        <v>1196</v>
      </c>
      <c r="T182">
        <v>459</v>
      </c>
      <c r="U182">
        <v>198</v>
      </c>
      <c r="X182"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182" t="s">
        <v>722</v>
      </c>
      <c r="AC182" s="74" t="s">
        <v>793</v>
      </c>
      <c r="AD182" t="s">
        <v>794</v>
      </c>
      <c r="AE182" s="75" t="str">
        <f>HYPERLINK("https://twitter.com/cnnindonesia/status/1493157267478556674")</f>
        <v>https://twitter.com/cnnindonesia/status/1493157267478556674</v>
      </c>
      <c r="AF182" s="73">
        <v>44606.400555555556</v>
      </c>
      <c r="AG182" s="77">
        <v>44606</v>
      </c>
      <c r="AH182" s="74" t="s">
        <v>978</v>
      </c>
      <c r="AI182" t="b">
        <v>0</v>
      </c>
      <c r="AV182" s="75" t="str">
        <f>HYPERLINK("https://pbs.twimg.com/profile_images/669793728970682369/CaHHKPMc_normal.png")</f>
        <v>https://pbs.twimg.com/profile_images/669793728970682369/CaHHKPMc_normal.png</v>
      </c>
      <c r="AW182" s="74" t="s">
        <v>1205</v>
      </c>
      <c r="AX182" s="74" t="s">
        <v>1205</v>
      </c>
      <c r="AZ182" s="74" t="s">
        <v>1384</v>
      </c>
      <c r="BA182" s="74" t="s">
        <v>1384</v>
      </c>
      <c r="BB182" s="74" t="s">
        <v>1384</v>
      </c>
      <c r="BC182" s="74" t="s">
        <v>1205</v>
      </c>
      <c r="BD182">
        <v>17128975</v>
      </c>
      <c r="BJ182" s="44">
        <v>0</v>
      </c>
      <c r="BK182" s="45">
        <v>0</v>
      </c>
      <c r="BL182" s="44">
        <v>1</v>
      </c>
      <c r="BM182" s="45">
        <v>10</v>
      </c>
      <c r="BN182" s="44">
        <v>0</v>
      </c>
      <c r="BO182" s="45">
        <v>0</v>
      </c>
      <c r="BP182" s="44">
        <v>9</v>
      </c>
      <c r="BQ182" s="45">
        <v>90</v>
      </c>
      <c r="BR182" s="44">
        <v>10</v>
      </c>
      <c r="BS182">
        <v>8</v>
      </c>
      <c r="BT182" s="112" t="str">
        <f>REPLACE(INDEX(GroupVertices[Group],MATCH("~"&amp;Edges37[[#This Row],[Vertex 1]],GroupVertices[Vertex],0)),1,1,"")</f>
        <v>5</v>
      </c>
      <c r="BU182" s="112" t="str">
        <f>REPLACE(INDEX(GroupVertices[Group],MATCH("~"&amp;Edges37[[#This Row],[Vertex 2]],GroupVertices[Vertex],0)),1,1,"")</f>
        <v>5</v>
      </c>
    </row>
    <row r="183" spans="1:73" ht="15">
      <c r="A183" s="59" t="s">
        <v>329</v>
      </c>
      <c r="B183" s="59" t="s">
        <v>335</v>
      </c>
      <c r="C183" s="60"/>
      <c r="D183" s="61"/>
      <c r="E183" s="62"/>
      <c r="F183" s="63"/>
      <c r="G183" s="60"/>
      <c r="H183" s="64"/>
      <c r="I183" s="65"/>
      <c r="J183" s="65"/>
      <c r="K183" s="30" t="s">
        <v>65</v>
      </c>
      <c r="L183" s="72">
        <v>274</v>
      </c>
      <c r="M1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3" s="67"/>
      <c r="O183" t="s">
        <v>484</v>
      </c>
      <c r="P183" s="73">
        <v>44606.66840277778</v>
      </c>
      <c r="Q183" t="s">
        <v>665</v>
      </c>
      <c r="R183">
        <v>0</v>
      </c>
      <c r="S183">
        <v>0</v>
      </c>
      <c r="T183">
        <v>0</v>
      </c>
      <c r="U183">
        <v>0</v>
      </c>
      <c r="AC183" s="74" t="s">
        <v>789</v>
      </c>
      <c r="AD183" t="s">
        <v>794</v>
      </c>
      <c r="AE183" s="75" t="str">
        <f>HYPERLINK("https://twitter.com/pmf_qu/status/1493254332262719492")</f>
        <v>https://twitter.com/pmf_qu/status/1493254332262719492</v>
      </c>
      <c r="AF183" s="73">
        <v>44606.66840277778</v>
      </c>
      <c r="AG183" s="77">
        <v>44606</v>
      </c>
      <c r="AH183" s="74" t="s">
        <v>979</v>
      </c>
      <c r="AV183" s="75" t="str">
        <f>HYPERLINK("https://abs.twimg.com/sticky/default_profile_images/default_profile_normal.png")</f>
        <v>https://abs.twimg.com/sticky/default_profile_images/default_profile_normal.png</v>
      </c>
      <c r="AW183" s="74" t="s">
        <v>1207</v>
      </c>
      <c r="AX183" s="74" t="s">
        <v>1207</v>
      </c>
      <c r="AZ183" s="74" t="s">
        <v>1384</v>
      </c>
      <c r="BA183" s="74" t="s">
        <v>1205</v>
      </c>
      <c r="BB183" s="74" t="s">
        <v>1384</v>
      </c>
      <c r="BC183" s="74" t="s">
        <v>1205</v>
      </c>
      <c r="BD183" s="74" t="s">
        <v>1474</v>
      </c>
      <c r="BJ183" s="44">
        <v>3</v>
      </c>
      <c r="BK183" s="45">
        <v>30</v>
      </c>
      <c r="BL183" s="44">
        <v>1</v>
      </c>
      <c r="BM183" s="45">
        <v>10</v>
      </c>
      <c r="BN183" s="44">
        <v>0</v>
      </c>
      <c r="BO183" s="45">
        <v>0</v>
      </c>
      <c r="BP183" s="44">
        <v>6</v>
      </c>
      <c r="BQ183" s="45">
        <v>60</v>
      </c>
      <c r="BR183" s="44">
        <v>10</v>
      </c>
      <c r="BS183">
        <v>1</v>
      </c>
      <c r="BT183" s="112" t="str">
        <f>REPLACE(INDEX(GroupVertices[Group],MATCH("~"&amp;Edges37[[#This Row],[Vertex 1]],GroupVertices[Vertex],0)),1,1,"")</f>
        <v>5</v>
      </c>
      <c r="BU183" s="112" t="str">
        <f>REPLACE(INDEX(GroupVertices[Group],MATCH("~"&amp;Edges37[[#This Row],[Vertex 2]],GroupVertices[Vertex],0)),1,1,"")</f>
        <v>5</v>
      </c>
    </row>
    <row r="184" spans="1:73" ht="15">
      <c r="A184" s="59" t="s">
        <v>336</v>
      </c>
      <c r="B184" s="59" t="s">
        <v>336</v>
      </c>
      <c r="C184" s="60"/>
      <c r="D184" s="61"/>
      <c r="E184" s="62"/>
      <c r="F184" s="63"/>
      <c r="G184" s="60"/>
      <c r="H184" s="64"/>
      <c r="I184" s="65"/>
      <c r="J184" s="65"/>
      <c r="K184" s="30" t="s">
        <v>65</v>
      </c>
      <c r="L184" s="72">
        <v>275</v>
      </c>
      <c r="M1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4" s="67"/>
      <c r="O184" t="s">
        <v>177</v>
      </c>
      <c r="P184" s="73">
        <v>44588.15153935185</v>
      </c>
      <c r="Q184" t="s">
        <v>666</v>
      </c>
      <c r="R184">
        <v>37</v>
      </c>
      <c r="S184">
        <v>220</v>
      </c>
      <c r="T184">
        <v>26</v>
      </c>
      <c r="U184">
        <v>1</v>
      </c>
      <c r="AC184" s="74" t="s">
        <v>786</v>
      </c>
      <c r="AD184" t="s">
        <v>794</v>
      </c>
      <c r="AE184" s="75" t="str">
        <f>HYPERLINK("https://twitter.com/mardanialisera/status/1486544046499590145")</f>
        <v>https://twitter.com/mardanialisera/status/1486544046499590145</v>
      </c>
      <c r="AF184" s="73">
        <v>44588.15153935185</v>
      </c>
      <c r="AG184" s="77">
        <v>44588</v>
      </c>
      <c r="AH184" s="74" t="s">
        <v>980</v>
      </c>
      <c r="AV184" s="75" t="str">
        <f>HYPERLINK("https://pbs.twimg.com/profile_images/1720330836598558720/gI9Swboi_normal.jpg")</f>
        <v>https://pbs.twimg.com/profile_images/1720330836598558720/gI9Swboi_normal.jpg</v>
      </c>
      <c r="AW184" s="74" t="s">
        <v>1208</v>
      </c>
      <c r="AX184" s="74" t="s">
        <v>1208</v>
      </c>
      <c r="AZ184" s="74" t="s">
        <v>1384</v>
      </c>
      <c r="BA184" s="74" t="s">
        <v>1384</v>
      </c>
      <c r="BB184" s="74" t="s">
        <v>1384</v>
      </c>
      <c r="BC184" s="74" t="s">
        <v>1208</v>
      </c>
      <c r="BD184">
        <v>122020937</v>
      </c>
      <c r="BJ184" s="44">
        <v>0</v>
      </c>
      <c r="BK184" s="45">
        <v>0</v>
      </c>
      <c r="BL184" s="44">
        <v>0</v>
      </c>
      <c r="BM184" s="45">
        <v>0</v>
      </c>
      <c r="BN184" s="44">
        <v>0</v>
      </c>
      <c r="BO184" s="45">
        <v>0</v>
      </c>
      <c r="BP184" s="44">
        <v>45</v>
      </c>
      <c r="BQ184" s="45">
        <v>100</v>
      </c>
      <c r="BR184" s="44">
        <v>45</v>
      </c>
      <c r="BS184">
        <v>8</v>
      </c>
      <c r="BT184" s="112" t="str">
        <f>REPLACE(INDEX(GroupVertices[Group],MATCH("~"&amp;Edges37[[#This Row],[Vertex 1]],GroupVertices[Vertex],0)),1,1,"")</f>
        <v>10</v>
      </c>
      <c r="BU184" s="112" t="str">
        <f>REPLACE(INDEX(GroupVertices[Group],MATCH("~"&amp;Edges37[[#This Row],[Vertex 2]],GroupVertices[Vertex],0)),1,1,"")</f>
        <v>10</v>
      </c>
    </row>
    <row r="185" spans="1:73" ht="15">
      <c r="A185" s="59" t="s">
        <v>329</v>
      </c>
      <c r="B185" s="59" t="s">
        <v>336</v>
      </c>
      <c r="C185" s="60"/>
      <c r="D185" s="61"/>
      <c r="E185" s="62"/>
      <c r="F185" s="63"/>
      <c r="G185" s="60"/>
      <c r="H185" s="64"/>
      <c r="I185" s="65"/>
      <c r="J185" s="65"/>
      <c r="K185" s="30" t="s">
        <v>65</v>
      </c>
      <c r="L185" s="72">
        <v>276</v>
      </c>
      <c r="M1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5" s="67"/>
      <c r="O185" t="s">
        <v>484</v>
      </c>
      <c r="P185" s="73">
        <v>44603.121458333335</v>
      </c>
      <c r="Q185" t="s">
        <v>667</v>
      </c>
      <c r="R185">
        <v>0</v>
      </c>
      <c r="S185">
        <v>0</v>
      </c>
      <c r="T185">
        <v>0</v>
      </c>
      <c r="U185">
        <v>0</v>
      </c>
      <c r="W185" s="74" t="s">
        <v>682</v>
      </c>
      <c r="AC185" s="74" t="s">
        <v>789</v>
      </c>
      <c r="AD185" t="s">
        <v>794</v>
      </c>
      <c r="AE185" s="75" t="str">
        <f>HYPERLINK("https://twitter.com/pmf_qu/status/1491968962422194177")</f>
        <v>https://twitter.com/pmf_qu/status/1491968962422194177</v>
      </c>
      <c r="AF185" s="73">
        <v>44603.121458333335</v>
      </c>
      <c r="AG185" s="77">
        <v>44603</v>
      </c>
      <c r="AH185" s="74" t="s">
        <v>981</v>
      </c>
      <c r="AV185" s="75" t="str">
        <f>HYPERLINK("https://abs.twimg.com/sticky/default_profile_images/default_profile_normal.png")</f>
        <v>https://abs.twimg.com/sticky/default_profile_images/default_profile_normal.png</v>
      </c>
      <c r="AW185" s="74" t="s">
        <v>1210</v>
      </c>
      <c r="AX185" s="74" t="s">
        <v>1210</v>
      </c>
      <c r="AZ185" s="74" t="s">
        <v>1384</v>
      </c>
      <c r="BA185" s="74" t="s">
        <v>1209</v>
      </c>
      <c r="BB185" s="74" t="s">
        <v>1384</v>
      </c>
      <c r="BC185" s="74" t="s">
        <v>1209</v>
      </c>
      <c r="BD185" s="74" t="s">
        <v>1474</v>
      </c>
      <c r="BJ185" s="44">
        <v>2</v>
      </c>
      <c r="BK185" s="45">
        <v>10</v>
      </c>
      <c r="BL185" s="44">
        <v>0</v>
      </c>
      <c r="BM185" s="45">
        <v>0</v>
      </c>
      <c r="BN185" s="44">
        <v>0</v>
      </c>
      <c r="BO185" s="45">
        <v>0</v>
      </c>
      <c r="BP185" s="44">
        <v>18</v>
      </c>
      <c r="BQ185" s="45">
        <v>90</v>
      </c>
      <c r="BR185" s="44">
        <v>20</v>
      </c>
      <c r="BS185">
        <v>8</v>
      </c>
      <c r="BT185" s="112" t="str">
        <f>REPLACE(INDEX(GroupVertices[Group],MATCH("~"&amp;Edges37[[#This Row],[Vertex 1]],GroupVertices[Vertex],0)),1,1,"")</f>
        <v>5</v>
      </c>
      <c r="BU185" s="112" t="str">
        <f>REPLACE(INDEX(GroupVertices[Group],MATCH("~"&amp;Edges37[[#This Row],[Vertex 2]],GroupVertices[Vertex],0)),1,1,"")</f>
        <v>10</v>
      </c>
    </row>
    <row r="186" spans="1:73" ht="15">
      <c r="A186" s="59" t="s">
        <v>337</v>
      </c>
      <c r="B186" s="59" t="s">
        <v>337</v>
      </c>
      <c r="C186" s="60"/>
      <c r="D186" s="61"/>
      <c r="E186" s="62"/>
      <c r="F186" s="63"/>
      <c r="G186" s="60"/>
      <c r="H186" s="64"/>
      <c r="I186" s="65"/>
      <c r="J186" s="65"/>
      <c r="K186" s="30" t="s">
        <v>65</v>
      </c>
      <c r="L186" s="72">
        <v>277</v>
      </c>
      <c r="M1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6" s="67"/>
      <c r="O186" t="s">
        <v>177</v>
      </c>
      <c r="P186" s="73">
        <v>44587.91478009259</v>
      </c>
      <c r="Q186" t="s">
        <v>668</v>
      </c>
      <c r="R186">
        <v>376</v>
      </c>
      <c r="S186">
        <v>1339</v>
      </c>
      <c r="T186">
        <v>41</v>
      </c>
      <c r="U186">
        <v>17</v>
      </c>
      <c r="X186" s="75" t="str">
        <f>HYPERLINK("https://keuangannews.id/jokowi-disebut-melakukan-kkn-terang-terangan-gibran-dan-bobby-nasution-disinggung/")</f>
        <v>https://keuangannews.id/jokowi-disebut-melakukan-kkn-terang-terangan-gibran-dan-bobby-nasution-disinggung/</v>
      </c>
      <c r="Y186" t="s">
        <v>723</v>
      </c>
      <c r="AC186" s="74" t="s">
        <v>790</v>
      </c>
      <c r="AD186" t="s">
        <v>794</v>
      </c>
      <c r="AE186" s="75" t="str">
        <f>HYPERLINK("https://twitter.com/keuangannews_id/status/1486458245665509378")</f>
        <v>https://twitter.com/keuangannews_id/status/1486458245665509378</v>
      </c>
      <c r="AF186" s="73">
        <v>44587.91478009259</v>
      </c>
      <c r="AG186" s="77">
        <v>44587</v>
      </c>
      <c r="AH186" s="74" t="s">
        <v>982</v>
      </c>
      <c r="AI186" t="b">
        <v>0</v>
      </c>
      <c r="AV186" s="75" t="str">
        <f>HYPERLINK("https://pbs.twimg.com/profile_images/1226436191215505408/du40qrKr_normal.jpg")</f>
        <v>https://pbs.twimg.com/profile_images/1226436191215505408/du40qrKr_normal.jpg</v>
      </c>
      <c r="AW186" s="74" t="s">
        <v>1211</v>
      </c>
      <c r="AX186" s="74" t="s">
        <v>1211</v>
      </c>
      <c r="AZ186" s="74" t="s">
        <v>1384</v>
      </c>
      <c r="BA186" s="74" t="s">
        <v>1384</v>
      </c>
      <c r="BB186" s="74" t="s">
        <v>1384</v>
      </c>
      <c r="BC186" s="74" t="s">
        <v>1211</v>
      </c>
      <c r="BD186" s="74" t="s">
        <v>1331</v>
      </c>
      <c r="BJ186" s="44">
        <v>0</v>
      </c>
      <c r="BK186" s="45">
        <v>0</v>
      </c>
      <c r="BL186" s="44">
        <v>1</v>
      </c>
      <c r="BM186" s="45">
        <v>8.333333333333334</v>
      </c>
      <c r="BN186" s="44">
        <v>0</v>
      </c>
      <c r="BO186" s="45">
        <v>0</v>
      </c>
      <c r="BP186" s="44">
        <v>10</v>
      </c>
      <c r="BQ186" s="45">
        <v>83.33333333333333</v>
      </c>
      <c r="BR186" s="44">
        <v>12</v>
      </c>
      <c r="BS186">
        <v>8</v>
      </c>
      <c r="BT186" s="112" t="str">
        <f>REPLACE(INDEX(GroupVertices[Group],MATCH("~"&amp;Edges37[[#This Row],[Vertex 1]],GroupVertices[Vertex],0)),1,1,"")</f>
        <v>5</v>
      </c>
      <c r="BU186" s="112" t="str">
        <f>REPLACE(INDEX(GroupVertices[Group],MATCH("~"&amp;Edges37[[#This Row],[Vertex 2]],GroupVertices[Vertex],0)),1,1,"")</f>
        <v>5</v>
      </c>
    </row>
    <row r="187" spans="1:73" ht="15">
      <c r="A187" s="59" t="s">
        <v>329</v>
      </c>
      <c r="B187" s="59" t="s">
        <v>337</v>
      </c>
      <c r="C187" s="60"/>
      <c r="D187" s="61"/>
      <c r="E187" s="62"/>
      <c r="F187" s="63"/>
      <c r="G187" s="60"/>
      <c r="H187" s="64"/>
      <c r="I187" s="65"/>
      <c r="J187" s="65"/>
      <c r="K187" s="30" t="s">
        <v>65</v>
      </c>
      <c r="L187" s="72">
        <v>278</v>
      </c>
      <c r="M1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7" s="67"/>
      <c r="O187" t="s">
        <v>484</v>
      </c>
      <c r="P187" s="73">
        <v>44589.0778125</v>
      </c>
      <c r="Q187" t="s">
        <v>669</v>
      </c>
      <c r="R187">
        <v>0</v>
      </c>
      <c r="S187">
        <v>0</v>
      </c>
      <c r="T187">
        <v>0</v>
      </c>
      <c r="U187">
        <v>0</v>
      </c>
      <c r="W187" s="74" t="s">
        <v>706</v>
      </c>
      <c r="AC187" s="74" t="s">
        <v>789</v>
      </c>
      <c r="AD187" t="s">
        <v>794</v>
      </c>
      <c r="AE187" s="75" t="str">
        <f>HYPERLINK("https://twitter.com/pmf_qu/status/1486879713302052866")</f>
        <v>https://twitter.com/pmf_qu/status/1486879713302052866</v>
      </c>
      <c r="AF187" s="73">
        <v>44589.0778125</v>
      </c>
      <c r="AG187" s="77">
        <v>44589</v>
      </c>
      <c r="AH187" s="74" t="s">
        <v>983</v>
      </c>
      <c r="AV187" s="75" t="str">
        <f>HYPERLINK("https://abs.twimg.com/sticky/default_profile_images/default_profile_normal.png")</f>
        <v>https://abs.twimg.com/sticky/default_profile_images/default_profile_normal.png</v>
      </c>
      <c r="AW187" s="74" t="s">
        <v>1213</v>
      </c>
      <c r="AX187" s="74" t="s">
        <v>1213</v>
      </c>
      <c r="AZ187" s="74" t="s">
        <v>1384</v>
      </c>
      <c r="BA187" s="74" t="s">
        <v>1211</v>
      </c>
      <c r="BB187" s="74" t="s">
        <v>1384</v>
      </c>
      <c r="BC187" s="74" t="s">
        <v>1211</v>
      </c>
      <c r="BD187" s="74" t="s">
        <v>1474</v>
      </c>
      <c r="BJ187" s="44">
        <v>0</v>
      </c>
      <c r="BK187" s="45">
        <v>0</v>
      </c>
      <c r="BL187" s="44">
        <v>1</v>
      </c>
      <c r="BM187" s="45">
        <v>4</v>
      </c>
      <c r="BN187" s="44">
        <v>0</v>
      </c>
      <c r="BO187" s="45">
        <v>0</v>
      </c>
      <c r="BP187" s="44">
        <v>24</v>
      </c>
      <c r="BQ187" s="45">
        <v>96</v>
      </c>
      <c r="BR187" s="44">
        <v>25</v>
      </c>
      <c r="BS187">
        <v>1</v>
      </c>
      <c r="BT187" s="112" t="str">
        <f>REPLACE(INDEX(GroupVertices[Group],MATCH("~"&amp;Edges37[[#This Row],[Vertex 1]],GroupVertices[Vertex],0)),1,1,"")</f>
        <v>5</v>
      </c>
      <c r="BU187" s="112" t="str">
        <f>REPLACE(INDEX(GroupVertices[Group],MATCH("~"&amp;Edges37[[#This Row],[Vertex 2]],GroupVertices[Vertex],0)),1,1,"")</f>
        <v>5</v>
      </c>
    </row>
    <row r="188" spans="1:73" ht="15">
      <c r="A188" s="59" t="s">
        <v>338</v>
      </c>
      <c r="B188" s="59" t="s">
        <v>338</v>
      </c>
      <c r="C188" s="60"/>
      <c r="D188" s="61"/>
      <c r="E188" s="62"/>
      <c r="F188" s="63"/>
      <c r="G188" s="60"/>
      <c r="H188" s="64"/>
      <c r="I188" s="65"/>
      <c r="J188" s="65"/>
      <c r="K188" s="30" t="s">
        <v>65</v>
      </c>
      <c r="L188" s="72">
        <v>279</v>
      </c>
      <c r="M1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8" s="67"/>
      <c r="O188" t="s">
        <v>177</v>
      </c>
      <c r="P188" s="73">
        <v>44611.39349537037</v>
      </c>
      <c r="Q188" t="s">
        <v>670</v>
      </c>
      <c r="R188">
        <v>158</v>
      </c>
      <c r="S188">
        <v>768</v>
      </c>
      <c r="T188">
        <v>38</v>
      </c>
      <c r="U188">
        <v>6</v>
      </c>
      <c r="X188" s="75" t="str">
        <f>HYPERLINK("https://youtu.be/X5TlArCX_Mo")</f>
        <v>https://youtu.be/X5TlArCX_Mo</v>
      </c>
      <c r="Y188" t="s">
        <v>717</v>
      </c>
      <c r="AC188" s="74" t="s">
        <v>787</v>
      </c>
      <c r="AD188" t="s">
        <v>794</v>
      </c>
      <c r="AE188" s="75" t="str">
        <f>HYPERLINK("https://twitter.com/geiszchalifah/status/1494966646879899651")</f>
        <v>https://twitter.com/geiszchalifah/status/1494966646879899651</v>
      </c>
      <c r="AF188" s="73">
        <v>44611.39349537037</v>
      </c>
      <c r="AG188" s="77">
        <v>44611</v>
      </c>
      <c r="AH188" s="74" t="s">
        <v>984</v>
      </c>
      <c r="AI188" t="b">
        <v>0</v>
      </c>
      <c r="AV188" s="75" t="str">
        <f>HYPERLINK("https://pbs.twimg.com/profile_images/1430381487078055943/WK_pywoN_normal.jpg")</f>
        <v>https://pbs.twimg.com/profile_images/1430381487078055943/WK_pywoN_normal.jpg</v>
      </c>
      <c r="AW188" s="74" t="s">
        <v>1214</v>
      </c>
      <c r="AX188" s="74" t="s">
        <v>1214</v>
      </c>
      <c r="AZ188" s="74" t="s">
        <v>1384</v>
      </c>
      <c r="BA188" s="74" t="s">
        <v>1384</v>
      </c>
      <c r="BB188" s="74" t="s">
        <v>1384</v>
      </c>
      <c r="BC188" s="74" t="s">
        <v>1214</v>
      </c>
      <c r="BD188" s="74" t="s">
        <v>1320</v>
      </c>
      <c r="BJ188" s="44">
        <v>2</v>
      </c>
      <c r="BK188" s="45">
        <v>4.878048780487805</v>
      </c>
      <c r="BL188" s="44">
        <v>0</v>
      </c>
      <c r="BM188" s="45">
        <v>0</v>
      </c>
      <c r="BN188" s="44">
        <v>0</v>
      </c>
      <c r="BO188" s="45">
        <v>0</v>
      </c>
      <c r="BP188" s="44">
        <v>39</v>
      </c>
      <c r="BQ188" s="45">
        <v>95.1219512195122</v>
      </c>
      <c r="BR188" s="44">
        <v>41</v>
      </c>
      <c r="BS188">
        <v>1</v>
      </c>
      <c r="BT188" s="112" t="str">
        <f>REPLACE(INDEX(GroupVertices[Group],MATCH("~"&amp;Edges37[[#This Row],[Vertex 1]],GroupVertices[Vertex],0)),1,1,"")</f>
        <v>8</v>
      </c>
      <c r="BU188" s="112" t="str">
        <f>REPLACE(INDEX(GroupVertices[Group],MATCH("~"&amp;Edges37[[#This Row],[Vertex 2]],GroupVertices[Vertex],0)),1,1,"")</f>
        <v>8</v>
      </c>
    </row>
    <row r="189" spans="1:73" ht="15">
      <c r="A189" s="59" t="s">
        <v>329</v>
      </c>
      <c r="B189" s="59" t="s">
        <v>338</v>
      </c>
      <c r="C189" s="60"/>
      <c r="D189" s="61"/>
      <c r="E189" s="62"/>
      <c r="F189" s="63"/>
      <c r="G189" s="60"/>
      <c r="H189" s="64"/>
      <c r="I189" s="65"/>
      <c r="J189" s="65"/>
      <c r="K189" s="30" t="s">
        <v>65</v>
      </c>
      <c r="L189" s="72">
        <v>280</v>
      </c>
      <c r="M1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9" s="67"/>
      <c r="O189" t="s">
        <v>484</v>
      </c>
      <c r="P189" s="73">
        <v>44612.40498842593</v>
      </c>
      <c r="Q189" t="s">
        <v>671</v>
      </c>
      <c r="R189">
        <v>0</v>
      </c>
      <c r="S189">
        <v>0</v>
      </c>
      <c r="T189">
        <v>0</v>
      </c>
      <c r="U189">
        <v>0</v>
      </c>
      <c r="AC189" s="74" t="s">
        <v>789</v>
      </c>
      <c r="AD189" t="s">
        <v>794</v>
      </c>
      <c r="AE189" s="75" t="str">
        <f>HYPERLINK("https://twitter.com/pmf_qu/status/1495333199509016578")</f>
        <v>https://twitter.com/pmf_qu/status/1495333199509016578</v>
      </c>
      <c r="AF189" s="73">
        <v>44612.40498842593</v>
      </c>
      <c r="AG189" s="77">
        <v>44612</v>
      </c>
      <c r="AH189" s="74" t="s">
        <v>985</v>
      </c>
      <c r="AV189" s="75" t="str">
        <f>HYPERLINK("https://abs.twimg.com/sticky/default_profile_images/default_profile_normal.png")</f>
        <v>https://abs.twimg.com/sticky/default_profile_images/default_profile_normal.png</v>
      </c>
      <c r="AW189" s="74" t="s">
        <v>1215</v>
      </c>
      <c r="AX189" s="74" t="s">
        <v>1215</v>
      </c>
      <c r="AZ189" s="74" t="s">
        <v>1384</v>
      </c>
      <c r="BA189" s="74" t="s">
        <v>1214</v>
      </c>
      <c r="BB189" s="74" t="s">
        <v>1384</v>
      </c>
      <c r="BC189" s="74" t="s">
        <v>1214</v>
      </c>
      <c r="BD189" s="74" t="s">
        <v>1474</v>
      </c>
      <c r="BJ189" s="44">
        <v>6</v>
      </c>
      <c r="BK189" s="45">
        <v>28.571428571428573</v>
      </c>
      <c r="BL189" s="44">
        <v>1</v>
      </c>
      <c r="BM189" s="45">
        <v>4.761904761904762</v>
      </c>
      <c r="BN189" s="44">
        <v>0</v>
      </c>
      <c r="BO189" s="45">
        <v>0</v>
      </c>
      <c r="BP189" s="44">
        <v>14</v>
      </c>
      <c r="BQ189" s="45">
        <v>66.66666666666667</v>
      </c>
      <c r="BR189" s="44">
        <v>21</v>
      </c>
      <c r="BS189">
        <v>1</v>
      </c>
      <c r="BT189" s="112" t="str">
        <f>REPLACE(INDEX(GroupVertices[Group],MATCH("~"&amp;Edges37[[#This Row],[Vertex 1]],GroupVertices[Vertex],0)),1,1,"")</f>
        <v>5</v>
      </c>
      <c r="BU189" s="112" t="str">
        <f>REPLACE(INDEX(GroupVertices[Group],MATCH("~"&amp;Edges37[[#This Row],[Vertex 2]],GroupVertices[Vertex],0)),1,1,"")</f>
        <v>8</v>
      </c>
    </row>
    <row r="190" spans="1:73" ht="15">
      <c r="A190" s="59" t="s">
        <v>339</v>
      </c>
      <c r="B190" s="59" t="s">
        <v>339</v>
      </c>
      <c r="C190" s="60"/>
      <c r="D190" s="61"/>
      <c r="E190" s="62"/>
      <c r="F190" s="63"/>
      <c r="G190" s="60"/>
      <c r="H190" s="64"/>
      <c r="I190" s="65"/>
      <c r="J190" s="65"/>
      <c r="K190" s="30" t="s">
        <v>65</v>
      </c>
      <c r="L190" s="72">
        <v>281</v>
      </c>
      <c r="M1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0" s="67"/>
      <c r="O190" t="s">
        <v>177</v>
      </c>
      <c r="P190" s="73">
        <v>44596.389398148145</v>
      </c>
      <c r="Q190" t="s">
        <v>672</v>
      </c>
      <c r="R190">
        <v>111</v>
      </c>
      <c r="S190">
        <v>461</v>
      </c>
      <c r="T190">
        <v>19</v>
      </c>
      <c r="U190">
        <v>7</v>
      </c>
      <c r="X190" s="75" t="str">
        <f>HYPERLINK("http://www.gelora.co/2022/02/anggota-dpr-desak-kemenhub-usut-tuntas.html")</f>
        <v>http://www.gelora.co/2022/02/anggota-dpr-desak-kemenhub-usut-tuntas.html</v>
      </c>
      <c r="Y190" t="s">
        <v>724</v>
      </c>
      <c r="AC190" s="74" t="s">
        <v>787</v>
      </c>
      <c r="AD190" t="s">
        <v>794</v>
      </c>
      <c r="AE190" s="75" t="str">
        <f>HYPERLINK("https://twitter.com/geloraco/status/1489529343517020160")</f>
        <v>https://twitter.com/geloraco/status/1489529343517020160</v>
      </c>
      <c r="AF190" s="73">
        <v>44596.389398148145</v>
      </c>
      <c r="AG190" s="77">
        <v>44596</v>
      </c>
      <c r="AH190" s="74" t="s">
        <v>986</v>
      </c>
      <c r="AI190" t="b">
        <v>0</v>
      </c>
      <c r="AV190" s="75" t="str">
        <f>HYPERLINK("https://pbs.twimg.com/profile_images/1354095189636210690/SbdpXIAi_normal.jpg")</f>
        <v>https://pbs.twimg.com/profile_images/1354095189636210690/SbdpXIAi_normal.jpg</v>
      </c>
      <c r="AW190" s="74" t="s">
        <v>1216</v>
      </c>
      <c r="AX190" s="74" t="s">
        <v>1216</v>
      </c>
      <c r="AZ190" s="74" t="s">
        <v>1384</v>
      </c>
      <c r="BA190" s="74" t="s">
        <v>1384</v>
      </c>
      <c r="BB190" s="74" t="s">
        <v>1384</v>
      </c>
      <c r="BC190" s="74" t="s">
        <v>1216</v>
      </c>
      <c r="BD190">
        <v>3319260420</v>
      </c>
      <c r="BJ190" s="44">
        <v>0</v>
      </c>
      <c r="BK190" s="45">
        <v>0</v>
      </c>
      <c r="BL190" s="44">
        <v>0</v>
      </c>
      <c r="BM190" s="45">
        <v>0</v>
      </c>
      <c r="BN190" s="44">
        <v>0</v>
      </c>
      <c r="BO190" s="45">
        <v>0</v>
      </c>
      <c r="BP190" s="44">
        <v>15</v>
      </c>
      <c r="BQ190" s="45">
        <v>100</v>
      </c>
      <c r="BR190" s="44">
        <v>15</v>
      </c>
      <c r="BS190">
        <v>27</v>
      </c>
      <c r="BT190" s="112" t="str">
        <f>REPLACE(INDEX(GroupVertices[Group],MATCH("~"&amp;Edges37[[#This Row],[Vertex 1]],GroupVertices[Vertex],0)),1,1,"")</f>
        <v>12</v>
      </c>
      <c r="BU190" s="112" t="str">
        <f>REPLACE(INDEX(GroupVertices[Group],MATCH("~"&amp;Edges37[[#This Row],[Vertex 2]],GroupVertices[Vertex],0)),1,1,"")</f>
        <v>12</v>
      </c>
    </row>
    <row r="191" spans="1:73" ht="15">
      <c r="A191" s="59" t="s">
        <v>329</v>
      </c>
      <c r="B191" s="59" t="s">
        <v>339</v>
      </c>
      <c r="C191" s="60"/>
      <c r="D191" s="61"/>
      <c r="E191" s="62"/>
      <c r="F191" s="63"/>
      <c r="G191" s="60"/>
      <c r="H191" s="64"/>
      <c r="I191" s="65"/>
      <c r="J191" s="65"/>
      <c r="K191" s="30" t="s">
        <v>65</v>
      </c>
      <c r="L191" s="72">
        <v>282</v>
      </c>
      <c r="M1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1" s="67"/>
      <c r="O191" t="s">
        <v>484</v>
      </c>
      <c r="P191" s="73">
        <v>44610.63181712963</v>
      </c>
      <c r="Q191" t="s">
        <v>673</v>
      </c>
      <c r="R191">
        <v>0</v>
      </c>
      <c r="S191">
        <v>0</v>
      </c>
      <c r="T191">
        <v>0</v>
      </c>
      <c r="U191">
        <v>0</v>
      </c>
      <c r="W191" s="74" t="s">
        <v>707</v>
      </c>
      <c r="AC191" s="74" t="s">
        <v>789</v>
      </c>
      <c r="AD191" t="s">
        <v>794</v>
      </c>
      <c r="AE191" s="75" t="str">
        <f>HYPERLINK("https://twitter.com/pmf_qu/status/1494690623349149697")</f>
        <v>https://twitter.com/pmf_qu/status/1494690623349149697</v>
      </c>
      <c r="AF191" s="73">
        <v>44610.63181712963</v>
      </c>
      <c r="AG191" s="77">
        <v>44610</v>
      </c>
      <c r="AH191" s="74" t="s">
        <v>987</v>
      </c>
      <c r="AV191" s="75" t="str">
        <f>HYPERLINK("https://abs.twimg.com/sticky/default_profile_images/default_profile_normal.png")</f>
        <v>https://abs.twimg.com/sticky/default_profile_images/default_profile_normal.png</v>
      </c>
      <c r="AW191" s="74" t="s">
        <v>1218</v>
      </c>
      <c r="AX191" s="74" t="s">
        <v>1218</v>
      </c>
      <c r="AZ191" s="74" t="s">
        <v>1384</v>
      </c>
      <c r="BA191" s="74" t="s">
        <v>1217</v>
      </c>
      <c r="BB191" s="74" t="s">
        <v>1384</v>
      </c>
      <c r="BC191" s="74" t="s">
        <v>1217</v>
      </c>
      <c r="BD191" s="74" t="s">
        <v>1474</v>
      </c>
      <c r="BJ191" s="44">
        <v>4</v>
      </c>
      <c r="BK191" s="45">
        <v>11.764705882352942</v>
      </c>
      <c r="BL191" s="44">
        <v>1</v>
      </c>
      <c r="BM191" s="45">
        <v>2.9411764705882355</v>
      </c>
      <c r="BN191" s="44">
        <v>0</v>
      </c>
      <c r="BO191" s="45">
        <v>0</v>
      </c>
      <c r="BP191" s="44">
        <v>29</v>
      </c>
      <c r="BQ191" s="45">
        <v>85.29411764705883</v>
      </c>
      <c r="BR191" s="44">
        <v>34</v>
      </c>
      <c r="BS191">
        <v>27</v>
      </c>
      <c r="BT191" s="112" t="str">
        <f>REPLACE(INDEX(GroupVertices[Group],MATCH("~"&amp;Edges37[[#This Row],[Vertex 1]],GroupVertices[Vertex],0)),1,1,"")</f>
        <v>5</v>
      </c>
      <c r="BU191" s="112" t="str">
        <f>REPLACE(INDEX(GroupVertices[Group],MATCH("~"&amp;Edges37[[#This Row],[Vertex 2]],GroupVertices[Vertex],0)),1,1,"")</f>
        <v>12</v>
      </c>
    </row>
    <row r="192" spans="1:73" ht="15">
      <c r="A192" s="59" t="s">
        <v>340</v>
      </c>
      <c r="B192" s="59" t="s">
        <v>340</v>
      </c>
      <c r="C192" s="60"/>
      <c r="D192" s="61"/>
      <c r="E192" s="62"/>
      <c r="F192" s="63"/>
      <c r="G192" s="60"/>
      <c r="H192" s="64"/>
      <c r="I192" s="65"/>
      <c r="J192" s="65"/>
      <c r="K192" s="30" t="s">
        <v>65</v>
      </c>
      <c r="L192" s="72">
        <v>283</v>
      </c>
      <c r="M1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2" s="67"/>
      <c r="O192" t="s">
        <v>177</v>
      </c>
      <c r="P192" s="73">
        <v>44574.265011574076</v>
      </c>
      <c r="Q192" t="s">
        <v>674</v>
      </c>
      <c r="R192">
        <v>541</v>
      </c>
      <c r="S192">
        <v>1565</v>
      </c>
      <c r="T192">
        <v>16</v>
      </c>
      <c r="U192">
        <v>41</v>
      </c>
      <c r="AA192" t="s">
        <v>780</v>
      </c>
      <c r="AB192" t="s">
        <v>784</v>
      </c>
      <c r="AC192" s="74" t="s">
        <v>787</v>
      </c>
      <c r="AD192" t="s">
        <v>794</v>
      </c>
      <c r="AE192" s="75" t="str">
        <f>HYPERLINK("https://twitter.com/nenkmonica/status/1481511735458959360")</f>
        <v>https://twitter.com/nenkmonica/status/1481511735458959360</v>
      </c>
      <c r="AF192" s="73">
        <v>44574.265011574076</v>
      </c>
      <c r="AG192" s="77">
        <v>44574</v>
      </c>
      <c r="AH192" s="74" t="s">
        <v>988</v>
      </c>
      <c r="AI192" t="b">
        <v>0</v>
      </c>
      <c r="AQ192" t="s">
        <v>1018</v>
      </c>
      <c r="AR192">
        <v>43449</v>
      </c>
      <c r="AV192" s="75" t="str">
        <f>HYPERLINK("https://pbs.twimg.com/ext_tw_video_thumb/1481511622984466432/pu/img/S3OCEWZDY1pkqGYa.jpg")</f>
        <v>https://pbs.twimg.com/ext_tw_video_thumb/1481511622984466432/pu/img/S3OCEWZDY1pkqGYa.jpg</v>
      </c>
      <c r="AW192" s="74" t="s">
        <v>1219</v>
      </c>
      <c r="AX192" s="74" t="s">
        <v>1219</v>
      </c>
      <c r="AZ192" s="74" t="s">
        <v>1384</v>
      </c>
      <c r="BA192" s="74" t="s">
        <v>1384</v>
      </c>
      <c r="BB192" s="74" t="s">
        <v>1384</v>
      </c>
      <c r="BC192" s="74" t="s">
        <v>1219</v>
      </c>
      <c r="BD192" s="74" t="s">
        <v>1476</v>
      </c>
      <c r="BJ192" s="44">
        <v>0</v>
      </c>
      <c r="BK192" s="45">
        <v>0</v>
      </c>
      <c r="BL192" s="44">
        <v>2</v>
      </c>
      <c r="BM192" s="45">
        <v>14.285714285714286</v>
      </c>
      <c r="BN192" s="44">
        <v>0</v>
      </c>
      <c r="BO192" s="45">
        <v>0</v>
      </c>
      <c r="BP192" s="44">
        <v>12</v>
      </c>
      <c r="BQ192" s="45">
        <v>85.71428571428571</v>
      </c>
      <c r="BR192" s="44">
        <v>14</v>
      </c>
      <c r="BS192">
        <v>1</v>
      </c>
      <c r="BT192" s="112" t="str">
        <f>REPLACE(INDEX(GroupVertices[Group],MATCH("~"&amp;Edges37[[#This Row],[Vertex 1]],GroupVertices[Vertex],0)),1,1,"")</f>
        <v>5</v>
      </c>
      <c r="BU192" s="112" t="str">
        <f>REPLACE(INDEX(GroupVertices[Group],MATCH("~"&amp;Edges37[[#This Row],[Vertex 2]],GroupVertices[Vertex],0)),1,1,"")</f>
        <v>5</v>
      </c>
    </row>
    <row r="193" spans="1:73" ht="15">
      <c r="A193" s="59" t="s">
        <v>329</v>
      </c>
      <c r="B193" s="59" t="s">
        <v>340</v>
      </c>
      <c r="C193" s="60"/>
      <c r="D193" s="61"/>
      <c r="E193" s="62"/>
      <c r="F193" s="63"/>
      <c r="G193" s="60"/>
      <c r="H193" s="64"/>
      <c r="I193" s="65"/>
      <c r="J193" s="65"/>
      <c r="K193" s="30" t="s">
        <v>65</v>
      </c>
      <c r="L193" s="72">
        <v>284</v>
      </c>
      <c r="M1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3" s="67"/>
      <c r="O193" t="s">
        <v>484</v>
      </c>
      <c r="P193" s="73">
        <v>44574.654282407406</v>
      </c>
      <c r="Q193" t="s">
        <v>675</v>
      </c>
      <c r="R193">
        <v>0</v>
      </c>
      <c r="S193">
        <v>0</v>
      </c>
      <c r="T193">
        <v>0</v>
      </c>
      <c r="U193">
        <v>0</v>
      </c>
      <c r="W193" s="74" t="s">
        <v>682</v>
      </c>
      <c r="AC193" s="74" t="s">
        <v>789</v>
      </c>
      <c r="AD193" t="s">
        <v>794</v>
      </c>
      <c r="AE193" s="75" t="str">
        <f>HYPERLINK("https://twitter.com/pmf_qu/status/1481652804226002944")</f>
        <v>https://twitter.com/pmf_qu/status/1481652804226002944</v>
      </c>
      <c r="AF193" s="73">
        <v>44574.654282407406</v>
      </c>
      <c r="AG193" s="77">
        <v>44574</v>
      </c>
      <c r="AH193" s="74" t="s">
        <v>989</v>
      </c>
      <c r="AV193" s="75" t="str">
        <f>HYPERLINK("https://abs.twimg.com/sticky/default_profile_images/default_profile_normal.png")</f>
        <v>https://abs.twimg.com/sticky/default_profile_images/default_profile_normal.png</v>
      </c>
      <c r="AW193" s="74" t="s">
        <v>1220</v>
      </c>
      <c r="AX193" s="74" t="s">
        <v>1220</v>
      </c>
      <c r="AZ193" s="74" t="s">
        <v>1384</v>
      </c>
      <c r="BA193" s="74" t="s">
        <v>1219</v>
      </c>
      <c r="BB193" s="74" t="s">
        <v>1384</v>
      </c>
      <c r="BC193" s="74" t="s">
        <v>1219</v>
      </c>
      <c r="BD193" s="74" t="s">
        <v>1474</v>
      </c>
      <c r="BJ193" s="44">
        <v>1</v>
      </c>
      <c r="BK193" s="45">
        <v>7.6923076923076925</v>
      </c>
      <c r="BL193" s="44">
        <v>0</v>
      </c>
      <c r="BM193" s="45">
        <v>0</v>
      </c>
      <c r="BN193" s="44">
        <v>0</v>
      </c>
      <c r="BO193" s="45">
        <v>0</v>
      </c>
      <c r="BP193" s="44">
        <v>12</v>
      </c>
      <c r="BQ193" s="45">
        <v>92.3076923076923</v>
      </c>
      <c r="BR193" s="44">
        <v>13</v>
      </c>
      <c r="BS193">
        <v>1</v>
      </c>
      <c r="BT193" s="112" t="str">
        <f>REPLACE(INDEX(GroupVertices[Group],MATCH("~"&amp;Edges37[[#This Row],[Vertex 1]],GroupVertices[Vertex],0)),1,1,"")</f>
        <v>5</v>
      </c>
      <c r="BU193" s="112" t="str">
        <f>REPLACE(INDEX(GroupVertices[Group],MATCH("~"&amp;Edges37[[#This Row],[Vertex 2]],GroupVertices[Vertex],0)),1,1,"")</f>
        <v>5</v>
      </c>
    </row>
    <row r="194" spans="1:73" ht="15">
      <c r="A194" s="59" t="s">
        <v>341</v>
      </c>
      <c r="B194" s="59" t="s">
        <v>341</v>
      </c>
      <c r="C194" s="60"/>
      <c r="D194" s="61"/>
      <c r="E194" s="62"/>
      <c r="F194" s="63"/>
      <c r="G194" s="60"/>
      <c r="H194" s="64"/>
      <c r="I194" s="65"/>
      <c r="J194" s="65"/>
      <c r="K194" s="30" t="s">
        <v>65</v>
      </c>
      <c r="L194" s="72">
        <v>285</v>
      </c>
      <c r="M1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4" s="67"/>
      <c r="O194" t="s">
        <v>177</v>
      </c>
      <c r="P194" s="73">
        <v>44558.26707175926</v>
      </c>
      <c r="Q194" t="s">
        <v>676</v>
      </c>
      <c r="R194">
        <v>860</v>
      </c>
      <c r="S194">
        <v>3508</v>
      </c>
      <c r="T194">
        <v>253</v>
      </c>
      <c r="U194">
        <v>77</v>
      </c>
      <c r="AA194" t="s">
        <v>781</v>
      </c>
      <c r="AB194" t="s">
        <v>783</v>
      </c>
      <c r="AC194" s="74" t="s">
        <v>787</v>
      </c>
      <c r="AD194" t="s">
        <v>794</v>
      </c>
      <c r="AE194" s="75" t="str">
        <f>HYPERLINK("https://twitter.com/fahiraidris/status/1475714275498860545")</f>
        <v>https://twitter.com/fahiraidris/status/1475714275498860545</v>
      </c>
      <c r="AF194" s="73">
        <v>44558.26707175926</v>
      </c>
      <c r="AG194" s="77">
        <v>44558</v>
      </c>
      <c r="AH194" s="74" t="s">
        <v>990</v>
      </c>
      <c r="AI194" t="b">
        <v>0</v>
      </c>
      <c r="AQ194" t="s">
        <v>1019</v>
      </c>
      <c r="AV194" s="75" t="str">
        <f>HYPERLINK("https://pbs.twimg.com/media/FHrKTyoVkAEIx8M.jpg")</f>
        <v>https://pbs.twimg.com/media/FHrKTyoVkAEIx8M.jpg</v>
      </c>
      <c r="AW194" s="74" t="s">
        <v>1221</v>
      </c>
      <c r="AX194" s="74" t="s">
        <v>1221</v>
      </c>
      <c r="AZ194" s="74" t="s">
        <v>1384</v>
      </c>
      <c r="BA194" s="74" t="s">
        <v>1384</v>
      </c>
      <c r="BB194" s="74" t="s">
        <v>1384</v>
      </c>
      <c r="BC194" s="74" t="s">
        <v>1221</v>
      </c>
      <c r="BD194">
        <v>68304724</v>
      </c>
      <c r="BJ194" s="44">
        <v>0</v>
      </c>
      <c r="BK194" s="45">
        <v>0</v>
      </c>
      <c r="BL194" s="44">
        <v>1</v>
      </c>
      <c r="BM194" s="45">
        <v>2.2222222222222223</v>
      </c>
      <c r="BN194" s="44">
        <v>0</v>
      </c>
      <c r="BO194" s="45">
        <v>0</v>
      </c>
      <c r="BP194" s="44">
        <v>43</v>
      </c>
      <c r="BQ194" s="45">
        <v>95.55555555555556</v>
      </c>
      <c r="BR194" s="44">
        <v>45</v>
      </c>
      <c r="BS194">
        <v>64</v>
      </c>
      <c r="BT194" s="112" t="str">
        <f>REPLACE(INDEX(GroupVertices[Group],MATCH("~"&amp;Edges37[[#This Row],[Vertex 1]],GroupVertices[Vertex],0)),1,1,"")</f>
        <v>6</v>
      </c>
      <c r="BU194" s="112" t="str">
        <f>REPLACE(INDEX(GroupVertices[Group],MATCH("~"&amp;Edges37[[#This Row],[Vertex 2]],GroupVertices[Vertex],0)),1,1,"")</f>
        <v>6</v>
      </c>
    </row>
    <row r="195" spans="1:73" ht="15">
      <c r="A195" s="59" t="s">
        <v>329</v>
      </c>
      <c r="B195" s="59" t="s">
        <v>341</v>
      </c>
      <c r="C195" s="60"/>
      <c r="D195" s="61"/>
      <c r="E195" s="62"/>
      <c r="F195" s="63"/>
      <c r="G195" s="60"/>
      <c r="H195" s="64"/>
      <c r="I195" s="65"/>
      <c r="J195" s="65"/>
      <c r="K195" s="30" t="s">
        <v>65</v>
      </c>
      <c r="L195" s="72">
        <v>286</v>
      </c>
      <c r="M1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5" s="67"/>
      <c r="O195" t="s">
        <v>484</v>
      </c>
      <c r="P195" s="73">
        <v>44609.680625</v>
      </c>
      <c r="Q195" t="s">
        <v>677</v>
      </c>
      <c r="R195">
        <v>0</v>
      </c>
      <c r="S195">
        <v>0</v>
      </c>
      <c r="T195">
        <v>0</v>
      </c>
      <c r="U195">
        <v>0</v>
      </c>
      <c r="AC195" s="74" t="s">
        <v>789</v>
      </c>
      <c r="AD195" t="s">
        <v>794</v>
      </c>
      <c r="AE195" s="75" t="str">
        <f>HYPERLINK("https://twitter.com/pmf_qu/status/1494345925312929793")</f>
        <v>https://twitter.com/pmf_qu/status/1494345925312929793</v>
      </c>
      <c r="AF195" s="73">
        <v>44609.680625</v>
      </c>
      <c r="AG195" s="77">
        <v>44609</v>
      </c>
      <c r="AH195" s="74" t="s">
        <v>991</v>
      </c>
      <c r="AV195" s="75" t="str">
        <f>HYPERLINK("https://abs.twimg.com/sticky/default_profile_images/default_profile_normal.png")</f>
        <v>https://abs.twimg.com/sticky/default_profile_images/default_profile_normal.png</v>
      </c>
      <c r="AW195" s="74" t="s">
        <v>1225</v>
      </c>
      <c r="AX195" s="74" t="s">
        <v>1225</v>
      </c>
      <c r="AZ195" s="74" t="s">
        <v>1384</v>
      </c>
      <c r="BA195" s="74" t="s">
        <v>1224</v>
      </c>
      <c r="BB195" s="74" t="s">
        <v>1384</v>
      </c>
      <c r="BC195" s="74" t="s">
        <v>1224</v>
      </c>
      <c r="BD195" s="74" t="s">
        <v>1474</v>
      </c>
      <c r="BJ195" s="44">
        <v>5</v>
      </c>
      <c r="BK195" s="45">
        <v>35.714285714285715</v>
      </c>
      <c r="BL195" s="44">
        <v>0</v>
      </c>
      <c r="BM195" s="45">
        <v>0</v>
      </c>
      <c r="BN195" s="44">
        <v>0</v>
      </c>
      <c r="BO195" s="45">
        <v>0</v>
      </c>
      <c r="BP195" s="44">
        <v>9</v>
      </c>
      <c r="BQ195" s="45">
        <v>64.28571428571429</v>
      </c>
      <c r="BR195" s="44">
        <v>14</v>
      </c>
      <c r="BS195">
        <v>1</v>
      </c>
      <c r="BT195" s="112" t="str">
        <f>REPLACE(INDEX(GroupVertices[Group],MATCH("~"&amp;Edges37[[#This Row],[Vertex 1]],GroupVertices[Vertex],0)),1,1,"")</f>
        <v>5</v>
      </c>
      <c r="BU195" s="112" t="str">
        <f>REPLACE(INDEX(GroupVertices[Group],MATCH("~"&amp;Edges37[[#This Row],[Vertex 2]],GroupVertices[Vertex],0)),1,1,"")</f>
        <v>6</v>
      </c>
    </row>
    <row r="196" spans="1:73" ht="15">
      <c r="A196" s="59" t="s">
        <v>342</v>
      </c>
      <c r="B196" s="59" t="s">
        <v>342</v>
      </c>
      <c r="C196" s="60"/>
      <c r="D196" s="61"/>
      <c r="E196" s="62"/>
      <c r="F196" s="63"/>
      <c r="G196" s="60"/>
      <c r="H196" s="64"/>
      <c r="I196" s="65"/>
      <c r="J196" s="65"/>
      <c r="K196" s="30" t="s">
        <v>65</v>
      </c>
      <c r="L196" s="72">
        <v>287</v>
      </c>
      <c r="M1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6" s="67"/>
      <c r="O196" t="s">
        <v>177</v>
      </c>
      <c r="P196" s="73">
        <v>44599.244525462964</v>
      </c>
      <c r="Q196" t="s">
        <v>678</v>
      </c>
      <c r="R196">
        <v>326</v>
      </c>
      <c r="S196">
        <v>1102</v>
      </c>
      <c r="T196">
        <v>8</v>
      </c>
      <c r="U196">
        <v>10</v>
      </c>
      <c r="AA196" t="s">
        <v>782</v>
      </c>
      <c r="AB196" t="s">
        <v>783</v>
      </c>
      <c r="AC196" s="74" t="s">
        <v>787</v>
      </c>
      <c r="AD196" t="s">
        <v>794</v>
      </c>
      <c r="AE196" s="75" t="str">
        <f>HYPERLINK("https://twitter.com/raka_shiwie/status/1490564008541569024")</f>
        <v>https://twitter.com/raka_shiwie/status/1490564008541569024</v>
      </c>
      <c r="AF196" s="73">
        <v>44599.244525462964</v>
      </c>
      <c r="AG196" s="77">
        <v>44599</v>
      </c>
      <c r="AH196" s="74" t="s">
        <v>992</v>
      </c>
      <c r="AI196" t="b">
        <v>0</v>
      </c>
      <c r="AQ196" t="s">
        <v>1020</v>
      </c>
      <c r="AV196" s="75" t="str">
        <f>HYPERLINK("https://pbs.twimg.com/media/FK-MEBeaAAEOjd2.jpg")</f>
        <v>https://pbs.twimg.com/media/FK-MEBeaAAEOjd2.jpg</v>
      </c>
      <c r="AW196" s="74" t="s">
        <v>1226</v>
      </c>
      <c r="AX196" s="74" t="s">
        <v>1226</v>
      </c>
      <c r="AZ196" s="74" t="s">
        <v>1384</v>
      </c>
      <c r="BA196" s="74" t="s">
        <v>1384</v>
      </c>
      <c r="BB196" s="74" t="s">
        <v>1384</v>
      </c>
      <c r="BC196" s="74" t="s">
        <v>1226</v>
      </c>
      <c r="BD196" s="74" t="s">
        <v>1477</v>
      </c>
      <c r="BJ196" s="44">
        <v>2</v>
      </c>
      <c r="BK196" s="45">
        <v>12.5</v>
      </c>
      <c r="BL196" s="44">
        <v>0</v>
      </c>
      <c r="BM196" s="45">
        <v>0</v>
      </c>
      <c r="BN196" s="44">
        <v>0</v>
      </c>
      <c r="BO196" s="45">
        <v>0</v>
      </c>
      <c r="BP196" s="44">
        <v>14</v>
      </c>
      <c r="BQ196" s="45">
        <v>87.5</v>
      </c>
      <c r="BR196" s="44">
        <v>16</v>
      </c>
      <c r="BS196">
        <v>1</v>
      </c>
      <c r="BT196" s="112" t="str">
        <f>REPLACE(INDEX(GroupVertices[Group],MATCH("~"&amp;Edges37[[#This Row],[Vertex 1]],GroupVertices[Vertex],0)),1,1,"")</f>
        <v>5</v>
      </c>
      <c r="BU196" s="112" t="str">
        <f>REPLACE(INDEX(GroupVertices[Group],MATCH("~"&amp;Edges37[[#This Row],[Vertex 2]],GroupVertices[Vertex],0)),1,1,"")</f>
        <v>5</v>
      </c>
    </row>
    <row r="197" spans="1:73" ht="15">
      <c r="A197" s="59" t="s">
        <v>329</v>
      </c>
      <c r="B197" s="59" t="s">
        <v>342</v>
      </c>
      <c r="C197" s="60"/>
      <c r="D197" s="61"/>
      <c r="E197" s="62"/>
      <c r="F197" s="63"/>
      <c r="G197" s="60"/>
      <c r="H197" s="64"/>
      <c r="I197" s="65"/>
      <c r="J197" s="65"/>
      <c r="K197" s="30" t="s">
        <v>65</v>
      </c>
      <c r="L197" s="72">
        <v>288</v>
      </c>
      <c r="M1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7" s="67"/>
      <c r="O197" t="s">
        <v>484</v>
      </c>
      <c r="P197" s="73">
        <v>44600.27460648148</v>
      </c>
      <c r="Q197" t="s">
        <v>679</v>
      </c>
      <c r="R197">
        <v>0</v>
      </c>
      <c r="S197">
        <v>1</v>
      </c>
      <c r="T197">
        <v>1</v>
      </c>
      <c r="U197">
        <v>0</v>
      </c>
      <c r="W197" s="74" t="s">
        <v>682</v>
      </c>
      <c r="AC197" s="74" t="s">
        <v>789</v>
      </c>
      <c r="AD197" t="s">
        <v>794</v>
      </c>
      <c r="AE197" s="75" t="str">
        <f>HYPERLINK("https://twitter.com/pmf_qu/status/1490937298279485443")</f>
        <v>https://twitter.com/pmf_qu/status/1490937298279485443</v>
      </c>
      <c r="AF197" s="73">
        <v>44600.27460648148</v>
      </c>
      <c r="AG197" s="77">
        <v>44600</v>
      </c>
      <c r="AH197" s="74" t="s">
        <v>993</v>
      </c>
      <c r="AV197" s="75" t="str">
        <f>HYPERLINK("https://abs.twimg.com/sticky/default_profile_images/default_profile_normal.png")</f>
        <v>https://abs.twimg.com/sticky/default_profile_images/default_profile_normal.png</v>
      </c>
      <c r="AW197" s="74" t="s">
        <v>1227</v>
      </c>
      <c r="AX197" s="74" t="s">
        <v>1227</v>
      </c>
      <c r="AZ197" s="74" t="s">
        <v>1384</v>
      </c>
      <c r="BA197" s="74" t="s">
        <v>1226</v>
      </c>
      <c r="BB197" s="74" t="s">
        <v>1384</v>
      </c>
      <c r="BC197" s="74" t="s">
        <v>1226</v>
      </c>
      <c r="BD197" s="74" t="s">
        <v>1474</v>
      </c>
      <c r="BJ197" s="44">
        <v>1</v>
      </c>
      <c r="BK197" s="45">
        <v>5.2631578947368425</v>
      </c>
      <c r="BL197" s="44">
        <v>1</v>
      </c>
      <c r="BM197" s="45">
        <v>5.2631578947368425</v>
      </c>
      <c r="BN197" s="44">
        <v>0</v>
      </c>
      <c r="BO197" s="45">
        <v>0</v>
      </c>
      <c r="BP197" s="44">
        <v>17</v>
      </c>
      <c r="BQ197" s="45">
        <v>89.47368421052632</v>
      </c>
      <c r="BR197" s="44">
        <v>19</v>
      </c>
      <c r="BS197">
        <v>1</v>
      </c>
      <c r="BT197" s="112" t="str">
        <f>REPLACE(INDEX(GroupVertices[Group],MATCH("~"&amp;Edges37[[#This Row],[Vertex 1]],GroupVertices[Vertex],0)),1,1,"")</f>
        <v>5</v>
      </c>
      <c r="BU197" s="112" t="str">
        <f>REPLACE(INDEX(GroupVertices[Group],MATCH("~"&amp;Edges37[[#This Row],[Vertex 2]],GroupVertices[Vertex],0)),1,1,"")</f>
        <v>5</v>
      </c>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5230-35B3-4674-AC10-D91078DA3F9A}">
  <dimension ref="A1:B80"/>
  <sheetViews>
    <sheetView workbookViewId="0" topLeftCell="A13">
      <selection activeCell="A59" sqref="A59"/>
    </sheetView>
  </sheetViews>
  <sheetFormatPr defaultColWidth="9.140625" defaultRowHeight="15"/>
  <cols>
    <col min="1" max="1" width="68.421875" style="0" bestFit="1" customWidth="1"/>
    <col min="2" max="2" width="43.57421875" style="0" bestFit="1" customWidth="1"/>
  </cols>
  <sheetData>
    <row r="1" spans="1:2" ht="15" customHeight="1">
      <c r="A1" s="112" t="s">
        <v>3504</v>
      </c>
      <c r="B1" s="112" t="s">
        <v>2402</v>
      </c>
    </row>
    <row r="2" spans="1:2" ht="15">
      <c r="A2" s="118"/>
      <c r="B2" s="112"/>
    </row>
    <row r="4" spans="1:2" ht="15" customHeight="1">
      <c r="A4" s="112" t="s">
        <v>3505</v>
      </c>
      <c r="B4" s="112" t="s">
        <v>2410</v>
      </c>
    </row>
    <row r="5" spans="1:2" ht="15">
      <c r="A5" s="118"/>
      <c r="B5" s="112"/>
    </row>
    <row r="7" spans="1:2" ht="15" customHeight="1">
      <c r="A7" s="112" t="s">
        <v>3506</v>
      </c>
      <c r="B7" s="112" t="s">
        <v>2412</v>
      </c>
    </row>
    <row r="8" spans="1:2" ht="15">
      <c r="A8" s="118"/>
      <c r="B8" s="112"/>
    </row>
    <row r="10" spans="1:2" ht="15" customHeight="1">
      <c r="A10" s="112" t="s">
        <v>3507</v>
      </c>
      <c r="B10" s="112" t="s">
        <v>2413</v>
      </c>
    </row>
    <row r="11" spans="1:2" ht="15">
      <c r="A11" s="118"/>
      <c r="B11" s="112"/>
    </row>
    <row r="13" spans="1:2" ht="15" customHeight="1">
      <c r="A13" s="112" t="s">
        <v>3508</v>
      </c>
      <c r="B13" s="112" t="s">
        <v>2414</v>
      </c>
    </row>
    <row r="14" spans="1:2" ht="15">
      <c r="A14" s="118"/>
      <c r="B14" s="112"/>
    </row>
    <row r="16" spans="1:2" ht="15" customHeight="1">
      <c r="A16" s="112" t="s">
        <v>3509</v>
      </c>
      <c r="B16" s="112" t="s">
        <v>2422</v>
      </c>
    </row>
    <row r="17" spans="1:2" ht="15">
      <c r="A17" s="118"/>
      <c r="B17" s="112"/>
    </row>
    <row r="19" spans="1:2" ht="15" customHeight="1">
      <c r="A19" s="112" t="s">
        <v>3510</v>
      </c>
      <c r="B19" s="112" t="s">
        <v>2428</v>
      </c>
    </row>
    <row r="20" spans="1:2" ht="15">
      <c r="A20" s="118"/>
      <c r="B20" s="112"/>
    </row>
    <row r="22" spans="1:2" ht="15" customHeight="1">
      <c r="A22" s="112" t="s">
        <v>3511</v>
      </c>
      <c r="B22" s="112" t="s">
        <v>2473</v>
      </c>
    </row>
    <row r="23" spans="1:2" ht="15">
      <c r="A23" s="118"/>
      <c r="B23" s="112"/>
    </row>
    <row r="25" spans="1:2" ht="15" customHeight="1">
      <c r="A25" s="112" t="s">
        <v>3512</v>
      </c>
      <c r="B25" s="112" t="s">
        <v>2478</v>
      </c>
    </row>
    <row r="26" spans="1:2" ht="15">
      <c r="A26" s="118"/>
      <c r="B26" s="112"/>
    </row>
    <row r="28" spans="1:2" ht="15" customHeight="1">
      <c r="A28" s="112" t="s">
        <v>3513</v>
      </c>
      <c r="B28" s="112" t="s">
        <v>2575</v>
      </c>
    </row>
    <row r="29" spans="1:2" ht="15">
      <c r="A29" s="118"/>
      <c r="B29" s="112"/>
    </row>
    <row r="31" spans="1:2" ht="15" customHeight="1">
      <c r="A31" s="7" t="s">
        <v>3514</v>
      </c>
      <c r="B31" s="7" t="s">
        <v>3046</v>
      </c>
    </row>
    <row r="32" spans="1:2" ht="15">
      <c r="A32" s="118" t="s">
        <v>329</v>
      </c>
      <c r="B32" s="112">
        <v>46</v>
      </c>
    </row>
    <row r="33" spans="1:2" ht="15">
      <c r="A33" s="120" t="s">
        <v>284</v>
      </c>
      <c r="B33" s="112">
        <v>41</v>
      </c>
    </row>
    <row r="34" spans="1:2" ht="15">
      <c r="A34" s="120" t="s">
        <v>230</v>
      </c>
      <c r="B34" s="112">
        <v>30</v>
      </c>
    </row>
    <row r="35" spans="1:2" ht="15">
      <c r="A35" s="120" t="s">
        <v>274</v>
      </c>
      <c r="B35" s="112">
        <v>28</v>
      </c>
    </row>
    <row r="36" spans="1:2" ht="15">
      <c r="A36" s="120" t="s">
        <v>250</v>
      </c>
      <c r="B36" s="112">
        <v>24</v>
      </c>
    </row>
    <row r="37" spans="1:2" ht="15">
      <c r="A37" s="120" t="s">
        <v>245</v>
      </c>
      <c r="B37" s="112">
        <v>23</v>
      </c>
    </row>
    <row r="38" spans="1:2" ht="15">
      <c r="A38" s="120" t="s">
        <v>226</v>
      </c>
      <c r="B38" s="112">
        <v>18</v>
      </c>
    </row>
    <row r="39" spans="1:2" ht="15">
      <c r="A39" s="120" t="s">
        <v>259</v>
      </c>
      <c r="B39" s="112">
        <v>16</v>
      </c>
    </row>
    <row r="40" spans="1:2" ht="15">
      <c r="A40" s="120" t="s">
        <v>264</v>
      </c>
      <c r="B40" s="112">
        <v>12</v>
      </c>
    </row>
    <row r="41" spans="1:2" ht="15">
      <c r="A41" s="120" t="s">
        <v>269</v>
      </c>
      <c r="B41" s="112">
        <v>12</v>
      </c>
    </row>
    <row r="44" spans="1:2" ht="15" customHeight="1">
      <c r="A44" s="7" t="s">
        <v>3515</v>
      </c>
      <c r="B44" s="7" t="s">
        <v>3047</v>
      </c>
    </row>
    <row r="45" spans="1:2" ht="15">
      <c r="A45" s="118" t="s">
        <v>278</v>
      </c>
      <c r="B45" s="112">
        <v>100</v>
      </c>
    </row>
    <row r="46" spans="1:2" ht="15">
      <c r="A46" s="120" t="s">
        <v>292</v>
      </c>
      <c r="B46" s="112">
        <v>100</v>
      </c>
    </row>
    <row r="47" spans="1:2" ht="15">
      <c r="A47" s="120" t="s">
        <v>303</v>
      </c>
      <c r="B47" s="112">
        <v>100</v>
      </c>
    </row>
    <row r="48" spans="1:2" ht="15">
      <c r="A48" s="120" t="s">
        <v>325</v>
      </c>
      <c r="B48" s="112">
        <v>80</v>
      </c>
    </row>
    <row r="49" spans="1:2" ht="15">
      <c r="A49" s="120" t="s">
        <v>237</v>
      </c>
      <c r="B49" s="112">
        <v>75</v>
      </c>
    </row>
    <row r="50" spans="1:2" ht="15">
      <c r="A50" s="120" t="s">
        <v>239</v>
      </c>
      <c r="B50" s="112">
        <v>75</v>
      </c>
    </row>
    <row r="51" spans="1:2" ht="15">
      <c r="A51" s="120" t="s">
        <v>231</v>
      </c>
      <c r="B51" s="112">
        <v>75</v>
      </c>
    </row>
    <row r="52" spans="1:2" ht="15">
      <c r="A52" s="120" t="s">
        <v>283</v>
      </c>
      <c r="B52" s="112">
        <v>75</v>
      </c>
    </row>
    <row r="53" spans="1:2" ht="15">
      <c r="A53" s="120" t="s">
        <v>276</v>
      </c>
      <c r="B53" s="112">
        <v>75</v>
      </c>
    </row>
    <row r="54" spans="1:2" ht="15">
      <c r="A54" s="120" t="s">
        <v>243</v>
      </c>
      <c r="B54" s="112">
        <v>75</v>
      </c>
    </row>
    <row r="57" spans="1:2" ht="15" customHeight="1">
      <c r="A57" s="7" t="s">
        <v>3516</v>
      </c>
      <c r="B57" s="7" t="s">
        <v>3048</v>
      </c>
    </row>
    <row r="58" spans="1:2" ht="15">
      <c r="A58" s="118" t="s">
        <v>230</v>
      </c>
      <c r="B58" s="112">
        <v>13</v>
      </c>
    </row>
    <row r="59" spans="1:2" ht="15">
      <c r="A59" s="120" t="s">
        <v>329</v>
      </c>
      <c r="B59" s="112">
        <v>11</v>
      </c>
    </row>
    <row r="60" spans="1:2" ht="15">
      <c r="A60" s="120" t="s">
        <v>274</v>
      </c>
      <c r="B60" s="112">
        <v>5</v>
      </c>
    </row>
    <row r="61" spans="1:2" ht="15">
      <c r="A61" s="120" t="s">
        <v>258</v>
      </c>
      <c r="B61" s="112">
        <v>4</v>
      </c>
    </row>
    <row r="62" spans="1:2" ht="15">
      <c r="A62" s="120" t="s">
        <v>343</v>
      </c>
      <c r="B62" s="112">
        <v>4</v>
      </c>
    </row>
    <row r="63" spans="1:2" ht="15">
      <c r="A63" s="120" t="s">
        <v>250</v>
      </c>
      <c r="B63" s="112">
        <v>3</v>
      </c>
    </row>
    <row r="64" spans="1:2" ht="15">
      <c r="A64" s="120" t="s">
        <v>284</v>
      </c>
      <c r="B64" s="112">
        <v>3</v>
      </c>
    </row>
    <row r="65" spans="1:2" ht="15">
      <c r="A65" s="120" t="s">
        <v>323</v>
      </c>
      <c r="B65" s="112">
        <v>3</v>
      </c>
    </row>
    <row r="66" spans="1:2" ht="15">
      <c r="A66" s="120" t="s">
        <v>262</v>
      </c>
      <c r="B66" s="112">
        <v>3</v>
      </c>
    </row>
    <row r="67" spans="1:2" ht="15">
      <c r="A67" s="120" t="s">
        <v>340</v>
      </c>
      <c r="B67" s="112">
        <v>2</v>
      </c>
    </row>
    <row r="70" spans="1:2" ht="15" customHeight="1">
      <c r="A70" s="7" t="s">
        <v>3517</v>
      </c>
      <c r="B70" s="7" t="s">
        <v>3049</v>
      </c>
    </row>
    <row r="71" spans="1:2" ht="15">
      <c r="A71" s="118" t="s">
        <v>343</v>
      </c>
      <c r="B71" s="112">
        <v>26.6666666666667</v>
      </c>
    </row>
    <row r="72" spans="1:2" ht="15">
      <c r="A72" s="120" t="s">
        <v>340</v>
      </c>
      <c r="B72" s="112">
        <v>14.2857142857143</v>
      </c>
    </row>
    <row r="73" spans="1:2" ht="15">
      <c r="A73" s="120" t="s">
        <v>230</v>
      </c>
      <c r="B73" s="112">
        <v>11.7117117117117</v>
      </c>
    </row>
    <row r="74" spans="1:2" ht="15">
      <c r="A74" s="120" t="s">
        <v>335</v>
      </c>
      <c r="B74" s="112">
        <v>10</v>
      </c>
    </row>
    <row r="75" spans="1:2" ht="15">
      <c r="A75" s="120" t="s">
        <v>267</v>
      </c>
      <c r="B75" s="112">
        <v>10</v>
      </c>
    </row>
    <row r="76" spans="1:2" ht="15">
      <c r="A76" s="120" t="s">
        <v>233</v>
      </c>
      <c r="B76" s="112">
        <v>10</v>
      </c>
    </row>
    <row r="77" spans="1:2" ht="15">
      <c r="A77" s="120" t="s">
        <v>323</v>
      </c>
      <c r="B77" s="112">
        <v>8.82352941176471</v>
      </c>
    </row>
    <row r="78" spans="1:2" ht="15">
      <c r="A78" s="120" t="s">
        <v>313</v>
      </c>
      <c r="B78" s="112">
        <v>8.33333333333333</v>
      </c>
    </row>
    <row r="79" spans="1:2" ht="15">
      <c r="A79" s="120" t="s">
        <v>337</v>
      </c>
      <c r="B79" s="112">
        <v>8.33333333333333</v>
      </c>
    </row>
    <row r="80" spans="1:2" ht="15">
      <c r="A80" s="120" t="s">
        <v>247</v>
      </c>
      <c r="B80" s="112">
        <v>7.40740740740741</v>
      </c>
    </row>
  </sheetData>
  <printOptions/>
  <pageMargins left="0.7" right="0.7" top="0.75" bottom="0.75" header="0.3" footer="0.3"/>
  <pageSetup orientation="portrait" paperSize="9"/>
  <tableParts>
    <tablePart r:id="rId6"/>
    <tablePart r:id="rId9"/>
    <tablePart r:id="rId13"/>
    <tablePart r:id="rId4"/>
    <tablePart r:id="rId14"/>
    <tablePart r:id="rId10"/>
    <tablePart r:id="rId8"/>
    <tablePart r:id="rId11"/>
    <tablePart r:id="rId3"/>
    <tablePart r:id="rId1"/>
    <tablePart r:id="rId5"/>
    <tablePart r:id="rId7"/>
    <tablePart r:id="rId2"/>
    <tablePart r:id="rId1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D926-298B-45EA-AC6A-CA986F7CF9F7}">
  <dimension ref="A25:B158"/>
  <sheetViews>
    <sheetView zoomScale="55" zoomScaleNormal="55" workbookViewId="0" topLeftCell="A1"/>
  </sheetViews>
  <sheetFormatPr defaultColWidth="9.140625" defaultRowHeight="15"/>
  <cols>
    <col min="1" max="1" width="13.140625" style="0" bestFit="1" customWidth="1"/>
    <col min="2" max="2" width="30.8515625" style="0" bestFit="1" customWidth="1"/>
  </cols>
  <sheetData>
    <row r="25" spans="1:2" ht="15">
      <c r="A25" s="99" t="s">
        <v>3057</v>
      </c>
      <c r="B25" t="s">
        <v>3518</v>
      </c>
    </row>
    <row r="26" spans="1:2" ht="15">
      <c r="A26" s="100" t="s">
        <v>3059</v>
      </c>
      <c r="B26" s="121">
        <v>32</v>
      </c>
    </row>
    <row r="27" spans="1:2" ht="15">
      <c r="A27" s="101" t="s">
        <v>3060</v>
      </c>
      <c r="B27" s="121">
        <v>32</v>
      </c>
    </row>
    <row r="28" spans="1:2" ht="15">
      <c r="A28" s="102" t="s">
        <v>3061</v>
      </c>
      <c r="B28" s="121">
        <v>3</v>
      </c>
    </row>
    <row r="29" spans="1:2" ht="15">
      <c r="A29" s="102" t="s">
        <v>3062</v>
      </c>
      <c r="B29" s="121">
        <v>1</v>
      </c>
    </row>
    <row r="30" spans="1:2" ht="15">
      <c r="A30" s="102" t="s">
        <v>3063</v>
      </c>
      <c r="B30" s="121">
        <v>1</v>
      </c>
    </row>
    <row r="31" spans="1:2" ht="15">
      <c r="A31" s="102" t="s">
        <v>3064</v>
      </c>
      <c r="B31" s="121">
        <v>1</v>
      </c>
    </row>
    <row r="32" spans="1:2" ht="15">
      <c r="A32" s="102" t="s">
        <v>3065</v>
      </c>
      <c r="B32" s="121">
        <v>2</v>
      </c>
    </row>
    <row r="33" spans="1:2" ht="15">
      <c r="A33" s="102" t="s">
        <v>3066</v>
      </c>
      <c r="B33" s="121">
        <v>2</v>
      </c>
    </row>
    <row r="34" spans="1:2" ht="15">
      <c r="A34" s="102" t="s">
        <v>3067</v>
      </c>
      <c r="B34" s="121">
        <v>2</v>
      </c>
    </row>
    <row r="35" spans="1:2" ht="15">
      <c r="A35" s="102" t="s">
        <v>3068</v>
      </c>
      <c r="B35" s="121">
        <v>3</v>
      </c>
    </row>
    <row r="36" spans="1:2" ht="15">
      <c r="A36" s="102" t="s">
        <v>3069</v>
      </c>
      <c r="B36" s="121">
        <v>2</v>
      </c>
    </row>
    <row r="37" spans="1:2" ht="15">
      <c r="A37" s="102" t="s">
        <v>3070</v>
      </c>
      <c r="B37" s="121">
        <v>2</v>
      </c>
    </row>
    <row r="38" spans="1:2" ht="15">
      <c r="A38" s="102" t="s">
        <v>3071</v>
      </c>
      <c r="B38" s="121">
        <v>2</v>
      </c>
    </row>
    <row r="39" spans="1:2" ht="15">
      <c r="A39" s="102" t="s">
        <v>3072</v>
      </c>
      <c r="B39" s="121">
        <v>1</v>
      </c>
    </row>
    <row r="40" spans="1:2" ht="15">
      <c r="A40" s="102" t="s">
        <v>3073</v>
      </c>
      <c r="B40" s="121">
        <v>2</v>
      </c>
    </row>
    <row r="41" spans="1:2" ht="15">
      <c r="A41" s="102" t="s">
        <v>3074</v>
      </c>
      <c r="B41" s="121">
        <v>6</v>
      </c>
    </row>
    <row r="42" spans="1:2" ht="15">
      <c r="A42" s="102" t="s">
        <v>3075</v>
      </c>
      <c r="B42" s="121">
        <v>1</v>
      </c>
    </row>
    <row r="43" spans="1:2" ht="15">
      <c r="A43" s="102" t="s">
        <v>3076</v>
      </c>
      <c r="B43" s="121">
        <v>1</v>
      </c>
    </row>
    <row r="44" spans="1:2" ht="15">
      <c r="A44" s="100" t="s">
        <v>2990</v>
      </c>
      <c r="B44" s="121">
        <v>153</v>
      </c>
    </row>
    <row r="45" spans="1:2" ht="15">
      <c r="A45" s="101" t="s">
        <v>3077</v>
      </c>
      <c r="B45" s="121">
        <v>73</v>
      </c>
    </row>
    <row r="46" spans="1:2" ht="15">
      <c r="A46" s="102" t="s">
        <v>3078</v>
      </c>
      <c r="B46" s="121">
        <v>1</v>
      </c>
    </row>
    <row r="47" spans="1:2" ht="15">
      <c r="A47" s="102" t="s">
        <v>3079</v>
      </c>
      <c r="B47" s="121">
        <v>1</v>
      </c>
    </row>
    <row r="48" spans="1:2" ht="15">
      <c r="A48" s="102" t="s">
        <v>3080</v>
      </c>
      <c r="B48" s="121">
        <v>2</v>
      </c>
    </row>
    <row r="49" spans="1:2" ht="15">
      <c r="A49" s="102" t="s">
        <v>3081</v>
      </c>
      <c r="B49" s="121">
        <v>1</v>
      </c>
    </row>
    <row r="50" spans="1:2" ht="15">
      <c r="A50" s="102" t="s">
        <v>3082</v>
      </c>
      <c r="B50" s="121">
        <v>3</v>
      </c>
    </row>
    <row r="51" spans="1:2" ht="15">
      <c r="A51" s="102" t="s">
        <v>3083</v>
      </c>
      <c r="B51" s="121">
        <v>2</v>
      </c>
    </row>
    <row r="52" spans="1:2" ht="15">
      <c r="A52" s="102" t="s">
        <v>3084</v>
      </c>
      <c r="B52" s="121">
        <v>1</v>
      </c>
    </row>
    <row r="53" spans="1:2" ht="15">
      <c r="A53" s="102" t="s">
        <v>3085</v>
      </c>
      <c r="B53" s="121">
        <v>1</v>
      </c>
    </row>
    <row r="54" spans="1:2" ht="15">
      <c r="A54" s="102" t="s">
        <v>3086</v>
      </c>
      <c r="B54" s="121">
        <v>8</v>
      </c>
    </row>
    <row r="55" spans="1:2" ht="15">
      <c r="A55" s="102" t="s">
        <v>3087</v>
      </c>
      <c r="B55" s="121">
        <v>7</v>
      </c>
    </row>
    <row r="56" spans="1:2" ht="15">
      <c r="A56" s="102" t="s">
        <v>3088</v>
      </c>
      <c r="B56" s="121">
        <v>6</v>
      </c>
    </row>
    <row r="57" spans="1:2" ht="15">
      <c r="A57" s="102" t="s">
        <v>3089</v>
      </c>
      <c r="B57" s="121">
        <v>10</v>
      </c>
    </row>
    <row r="58" spans="1:2" ht="15">
      <c r="A58" s="102" t="s">
        <v>3090</v>
      </c>
      <c r="B58" s="121">
        <v>1</v>
      </c>
    </row>
    <row r="59" spans="1:2" ht="15">
      <c r="A59" s="102" t="s">
        <v>3091</v>
      </c>
      <c r="B59" s="121">
        <v>3</v>
      </c>
    </row>
    <row r="60" spans="1:2" ht="15">
      <c r="A60" s="102" t="s">
        <v>3092</v>
      </c>
      <c r="B60" s="121">
        <v>5</v>
      </c>
    </row>
    <row r="61" spans="1:2" ht="15">
      <c r="A61" s="102" t="s">
        <v>3093</v>
      </c>
      <c r="B61" s="121">
        <v>5</v>
      </c>
    </row>
    <row r="62" spans="1:2" ht="15">
      <c r="A62" s="102" t="s">
        <v>3094</v>
      </c>
      <c r="B62" s="121">
        <v>6</v>
      </c>
    </row>
    <row r="63" spans="1:2" ht="15">
      <c r="A63" s="102" t="s">
        <v>3095</v>
      </c>
      <c r="B63" s="121">
        <v>1</v>
      </c>
    </row>
    <row r="64" spans="1:2" ht="15">
      <c r="A64" s="102" t="s">
        <v>3096</v>
      </c>
      <c r="B64" s="121">
        <v>2</v>
      </c>
    </row>
    <row r="65" spans="1:2" ht="15">
      <c r="A65" s="102" t="s">
        <v>3097</v>
      </c>
      <c r="B65" s="121">
        <v>3</v>
      </c>
    </row>
    <row r="66" spans="1:2" ht="15">
      <c r="A66" s="102" t="s">
        <v>3098</v>
      </c>
      <c r="B66" s="121">
        <v>1</v>
      </c>
    </row>
    <row r="67" spans="1:2" ht="15">
      <c r="A67" s="102" t="s">
        <v>3099</v>
      </c>
      <c r="B67" s="121">
        <v>1</v>
      </c>
    </row>
    <row r="68" spans="1:2" ht="15">
      <c r="A68" s="102" t="s">
        <v>3100</v>
      </c>
      <c r="B68" s="121">
        <v>1</v>
      </c>
    </row>
    <row r="69" spans="1:2" ht="15">
      <c r="A69" s="102" t="s">
        <v>3101</v>
      </c>
      <c r="B69" s="121">
        <v>1</v>
      </c>
    </row>
    <row r="70" spans="1:2" ht="15">
      <c r="A70" s="101" t="s">
        <v>3102</v>
      </c>
      <c r="B70" s="121">
        <v>27</v>
      </c>
    </row>
    <row r="71" spans="1:2" ht="15">
      <c r="A71" s="102" t="s">
        <v>3103</v>
      </c>
      <c r="B71" s="121">
        <v>1</v>
      </c>
    </row>
    <row r="72" spans="1:2" ht="15">
      <c r="A72" s="102" t="s">
        <v>3104</v>
      </c>
      <c r="B72" s="121">
        <v>3</v>
      </c>
    </row>
    <row r="73" spans="1:2" ht="15">
      <c r="A73" s="102" t="s">
        <v>3105</v>
      </c>
      <c r="B73" s="121">
        <v>1</v>
      </c>
    </row>
    <row r="74" spans="1:2" ht="15">
      <c r="A74" s="102" t="s">
        <v>3106</v>
      </c>
      <c r="B74" s="121">
        <v>1</v>
      </c>
    </row>
    <row r="75" spans="1:2" ht="15">
      <c r="A75" s="102" t="s">
        <v>3107</v>
      </c>
      <c r="B75" s="121">
        <v>1</v>
      </c>
    </row>
    <row r="76" spans="1:2" ht="15">
      <c r="A76" s="102" t="s">
        <v>3108</v>
      </c>
      <c r="B76" s="121">
        <v>2</v>
      </c>
    </row>
    <row r="77" spans="1:2" ht="15">
      <c r="A77" s="102" t="s">
        <v>3109</v>
      </c>
      <c r="B77" s="121">
        <v>1</v>
      </c>
    </row>
    <row r="78" spans="1:2" ht="15">
      <c r="A78" s="102" t="s">
        <v>3110</v>
      </c>
      <c r="B78" s="121">
        <v>3</v>
      </c>
    </row>
    <row r="79" spans="1:2" ht="15">
      <c r="A79" s="102" t="s">
        <v>3111</v>
      </c>
      <c r="B79" s="121">
        <v>2</v>
      </c>
    </row>
    <row r="80" spans="1:2" ht="15">
      <c r="A80" s="102" t="s">
        <v>3112</v>
      </c>
      <c r="B80" s="121">
        <v>4</v>
      </c>
    </row>
    <row r="81" spans="1:2" ht="15">
      <c r="A81" s="102" t="s">
        <v>3114</v>
      </c>
      <c r="B81" s="121">
        <v>2</v>
      </c>
    </row>
    <row r="82" spans="1:2" ht="15">
      <c r="A82" s="102" t="s">
        <v>3115</v>
      </c>
      <c r="B82" s="121">
        <v>1</v>
      </c>
    </row>
    <row r="83" spans="1:2" ht="15">
      <c r="A83" s="102" t="s">
        <v>3116</v>
      </c>
      <c r="B83" s="121">
        <v>1</v>
      </c>
    </row>
    <row r="84" spans="1:2" ht="15">
      <c r="A84" s="102" t="s">
        <v>3117</v>
      </c>
      <c r="B84" s="121">
        <v>2</v>
      </c>
    </row>
    <row r="85" spans="1:2" ht="15">
      <c r="A85" s="102" t="s">
        <v>3118</v>
      </c>
      <c r="B85" s="121">
        <v>2</v>
      </c>
    </row>
    <row r="86" spans="1:2" ht="15">
      <c r="A86" s="101" t="s">
        <v>3119</v>
      </c>
      <c r="B86" s="121">
        <v>5</v>
      </c>
    </row>
    <row r="87" spans="1:2" ht="15">
      <c r="A87" s="102" t="s">
        <v>3120</v>
      </c>
      <c r="B87" s="121">
        <v>1</v>
      </c>
    </row>
    <row r="88" spans="1:2" ht="15">
      <c r="A88" s="102" t="s">
        <v>3121</v>
      </c>
      <c r="B88" s="121">
        <v>1</v>
      </c>
    </row>
    <row r="89" spans="1:2" ht="15">
      <c r="A89" s="102" t="s">
        <v>3122</v>
      </c>
      <c r="B89" s="121">
        <v>2</v>
      </c>
    </row>
    <row r="90" spans="1:2" ht="15">
      <c r="A90" s="102" t="s">
        <v>3123</v>
      </c>
      <c r="B90" s="121">
        <v>1</v>
      </c>
    </row>
    <row r="91" spans="1:2" ht="15">
      <c r="A91" s="101" t="s">
        <v>3124</v>
      </c>
      <c r="B91" s="121">
        <v>3</v>
      </c>
    </row>
    <row r="92" spans="1:2" ht="15">
      <c r="A92" s="102" t="s">
        <v>3125</v>
      </c>
      <c r="B92" s="121">
        <v>2</v>
      </c>
    </row>
    <row r="93" spans="1:2" ht="15">
      <c r="A93" s="102" t="s">
        <v>3126</v>
      </c>
      <c r="B93" s="121">
        <v>1</v>
      </c>
    </row>
    <row r="94" spans="1:2" ht="15">
      <c r="A94" s="101" t="s">
        <v>3127</v>
      </c>
      <c r="B94" s="121">
        <v>3</v>
      </c>
    </row>
    <row r="95" spans="1:2" ht="15">
      <c r="A95" s="102" t="s">
        <v>3128</v>
      </c>
      <c r="B95" s="121">
        <v>1</v>
      </c>
    </row>
    <row r="96" spans="1:2" ht="15">
      <c r="A96" s="102" t="s">
        <v>3129</v>
      </c>
      <c r="B96" s="121">
        <v>1</v>
      </c>
    </row>
    <row r="97" spans="1:2" ht="15">
      <c r="A97" s="102" t="s">
        <v>3130</v>
      </c>
      <c r="B97" s="121">
        <v>1</v>
      </c>
    </row>
    <row r="98" spans="1:2" ht="15">
      <c r="A98" s="101" t="s">
        <v>3131</v>
      </c>
      <c r="B98" s="121">
        <v>6</v>
      </c>
    </row>
    <row r="99" spans="1:2" ht="15">
      <c r="A99" s="102" t="s">
        <v>3132</v>
      </c>
      <c r="B99" s="121">
        <v>1</v>
      </c>
    </row>
    <row r="100" spans="1:2" ht="15">
      <c r="A100" s="102" t="s">
        <v>3133</v>
      </c>
      <c r="B100" s="121">
        <v>1</v>
      </c>
    </row>
    <row r="101" spans="1:2" ht="15">
      <c r="A101" s="102" t="s">
        <v>3134</v>
      </c>
      <c r="B101" s="121">
        <v>1</v>
      </c>
    </row>
    <row r="102" spans="1:2" ht="15">
      <c r="A102" s="102" t="s">
        <v>3135</v>
      </c>
      <c r="B102" s="121">
        <v>2</v>
      </c>
    </row>
    <row r="103" spans="1:2" ht="15">
      <c r="A103" s="102" t="s">
        <v>3136</v>
      </c>
      <c r="B103" s="121">
        <v>1</v>
      </c>
    </row>
    <row r="104" spans="1:2" ht="15">
      <c r="A104" s="101" t="s">
        <v>3137</v>
      </c>
      <c r="B104" s="121">
        <v>9</v>
      </c>
    </row>
    <row r="105" spans="1:2" ht="15">
      <c r="A105" s="102" t="s">
        <v>3138</v>
      </c>
      <c r="B105" s="121">
        <v>2</v>
      </c>
    </row>
    <row r="106" spans="1:2" ht="15">
      <c r="A106" s="102" t="s">
        <v>3139</v>
      </c>
      <c r="B106" s="121">
        <v>1</v>
      </c>
    </row>
    <row r="107" spans="1:2" ht="15">
      <c r="A107" s="102" t="s">
        <v>3140</v>
      </c>
      <c r="B107" s="121">
        <v>1</v>
      </c>
    </row>
    <row r="108" spans="1:2" ht="15">
      <c r="A108" s="102" t="s">
        <v>3141</v>
      </c>
      <c r="B108" s="121">
        <v>1</v>
      </c>
    </row>
    <row r="109" spans="1:2" ht="15">
      <c r="A109" s="102" t="s">
        <v>3142</v>
      </c>
      <c r="B109" s="121">
        <v>2</v>
      </c>
    </row>
    <row r="110" spans="1:2" ht="15">
      <c r="A110" s="102" t="s">
        <v>3143</v>
      </c>
      <c r="B110" s="121">
        <v>1</v>
      </c>
    </row>
    <row r="111" spans="1:2" ht="15">
      <c r="A111" s="102" t="s">
        <v>3144</v>
      </c>
      <c r="B111" s="121">
        <v>1</v>
      </c>
    </row>
    <row r="112" spans="1:2" ht="15">
      <c r="A112" s="101" t="s">
        <v>3145</v>
      </c>
      <c r="B112" s="121">
        <v>5</v>
      </c>
    </row>
    <row r="113" spans="1:2" ht="15">
      <c r="A113" s="102" t="s">
        <v>3146</v>
      </c>
      <c r="B113" s="121">
        <v>1</v>
      </c>
    </row>
    <row r="114" spans="1:2" ht="15">
      <c r="A114" s="102" t="s">
        <v>3147</v>
      </c>
      <c r="B114" s="121">
        <v>1</v>
      </c>
    </row>
    <row r="115" spans="1:2" ht="15">
      <c r="A115" s="102" t="s">
        <v>3148</v>
      </c>
      <c r="B115" s="121">
        <v>1</v>
      </c>
    </row>
    <row r="116" spans="1:2" ht="15">
      <c r="A116" s="102" t="s">
        <v>3149</v>
      </c>
      <c r="B116" s="121">
        <v>1</v>
      </c>
    </row>
    <row r="117" spans="1:2" ht="15">
      <c r="A117" s="102" t="s">
        <v>3150</v>
      </c>
      <c r="B117" s="121">
        <v>1</v>
      </c>
    </row>
    <row r="118" spans="1:2" ht="15">
      <c r="A118" s="101" t="s">
        <v>3151</v>
      </c>
      <c r="B118" s="121">
        <v>7</v>
      </c>
    </row>
    <row r="119" spans="1:2" ht="15">
      <c r="A119" s="102" t="s">
        <v>3152</v>
      </c>
      <c r="B119" s="121">
        <v>1</v>
      </c>
    </row>
    <row r="120" spans="1:2" ht="15">
      <c r="A120" s="102" t="s">
        <v>3153</v>
      </c>
      <c r="B120" s="121">
        <v>1</v>
      </c>
    </row>
    <row r="121" spans="1:2" ht="15">
      <c r="A121" s="102" t="s">
        <v>3154</v>
      </c>
      <c r="B121" s="121">
        <v>1</v>
      </c>
    </row>
    <row r="122" spans="1:2" ht="15">
      <c r="A122" s="102" t="s">
        <v>3155</v>
      </c>
      <c r="B122" s="121">
        <v>1</v>
      </c>
    </row>
    <row r="123" spans="1:2" ht="15">
      <c r="A123" s="102" t="s">
        <v>3156</v>
      </c>
      <c r="B123" s="121">
        <v>3</v>
      </c>
    </row>
    <row r="124" spans="1:2" ht="15">
      <c r="A124" s="101" t="s">
        <v>3157</v>
      </c>
      <c r="B124" s="121">
        <v>4</v>
      </c>
    </row>
    <row r="125" spans="1:2" ht="15">
      <c r="A125" s="102" t="s">
        <v>3158</v>
      </c>
      <c r="B125" s="121">
        <v>1</v>
      </c>
    </row>
    <row r="126" spans="1:2" ht="15">
      <c r="A126" s="102" t="s">
        <v>3159</v>
      </c>
      <c r="B126" s="121">
        <v>1</v>
      </c>
    </row>
    <row r="127" spans="1:2" ht="15">
      <c r="A127" s="102" t="s">
        <v>3160</v>
      </c>
      <c r="B127" s="121">
        <v>1</v>
      </c>
    </row>
    <row r="128" spans="1:2" ht="15">
      <c r="A128" s="102" t="s">
        <v>3161</v>
      </c>
      <c r="B128" s="121">
        <v>1</v>
      </c>
    </row>
    <row r="129" spans="1:2" ht="15">
      <c r="A129" s="101" t="s">
        <v>3162</v>
      </c>
      <c r="B129" s="121">
        <v>6</v>
      </c>
    </row>
    <row r="130" spans="1:2" ht="15">
      <c r="A130" s="102" t="s">
        <v>3163</v>
      </c>
      <c r="B130" s="121">
        <v>1</v>
      </c>
    </row>
    <row r="131" spans="1:2" ht="15">
      <c r="A131" s="102" t="s">
        <v>3164</v>
      </c>
      <c r="B131" s="121">
        <v>2</v>
      </c>
    </row>
    <row r="132" spans="1:2" ht="15">
      <c r="A132" s="102" t="s">
        <v>3165</v>
      </c>
      <c r="B132" s="121">
        <v>1</v>
      </c>
    </row>
    <row r="133" spans="1:2" ht="15">
      <c r="A133" s="102" t="s">
        <v>3166</v>
      </c>
      <c r="B133" s="121">
        <v>1</v>
      </c>
    </row>
    <row r="134" spans="1:2" ht="15">
      <c r="A134" s="102" t="s">
        <v>3167</v>
      </c>
      <c r="B134" s="121">
        <v>1</v>
      </c>
    </row>
    <row r="135" spans="1:2" ht="15">
      <c r="A135" s="101" t="s">
        <v>3060</v>
      </c>
      <c r="B135" s="121">
        <v>5</v>
      </c>
    </row>
    <row r="136" spans="1:2" ht="15">
      <c r="A136" s="102" t="s">
        <v>3062</v>
      </c>
      <c r="B136" s="121">
        <v>1</v>
      </c>
    </row>
    <row r="137" spans="1:2" ht="15">
      <c r="A137" s="102" t="s">
        <v>3168</v>
      </c>
      <c r="B137" s="121">
        <v>1</v>
      </c>
    </row>
    <row r="138" spans="1:2" ht="15">
      <c r="A138" s="102" t="s">
        <v>3070</v>
      </c>
      <c r="B138" s="121">
        <v>1</v>
      </c>
    </row>
    <row r="139" spans="1:2" ht="15">
      <c r="A139" s="102" t="s">
        <v>3071</v>
      </c>
      <c r="B139" s="121">
        <v>1</v>
      </c>
    </row>
    <row r="140" spans="1:2" ht="15">
      <c r="A140" s="102" t="s">
        <v>3073</v>
      </c>
      <c r="B140" s="121">
        <v>1</v>
      </c>
    </row>
    <row r="141" spans="1:2" ht="15">
      <c r="A141" s="100" t="s">
        <v>3169</v>
      </c>
      <c r="B141" s="121">
        <v>10</v>
      </c>
    </row>
    <row r="142" spans="1:2" ht="15">
      <c r="A142" s="101" t="s">
        <v>3077</v>
      </c>
      <c r="B142" s="121">
        <v>1</v>
      </c>
    </row>
    <row r="143" spans="1:2" ht="15">
      <c r="A143" s="102" t="s">
        <v>3081</v>
      </c>
      <c r="B143" s="121">
        <v>1</v>
      </c>
    </row>
    <row r="144" spans="1:2" ht="15">
      <c r="A144" s="101" t="s">
        <v>3102</v>
      </c>
      <c r="B144" s="121">
        <v>1</v>
      </c>
    </row>
    <row r="145" spans="1:2" ht="15">
      <c r="A145" s="102" t="s">
        <v>3113</v>
      </c>
      <c r="B145" s="121">
        <v>1</v>
      </c>
    </row>
    <row r="146" spans="1:2" ht="15">
      <c r="A146" s="101" t="s">
        <v>3119</v>
      </c>
      <c r="B146" s="121">
        <v>1</v>
      </c>
    </row>
    <row r="147" spans="1:2" ht="15">
      <c r="A147" s="102" t="s">
        <v>3170</v>
      </c>
      <c r="B147" s="121">
        <v>1</v>
      </c>
    </row>
    <row r="148" spans="1:2" ht="15">
      <c r="A148" s="101" t="s">
        <v>3124</v>
      </c>
      <c r="B148" s="121">
        <v>2</v>
      </c>
    </row>
    <row r="149" spans="1:2" ht="15">
      <c r="A149" s="102" t="s">
        <v>3171</v>
      </c>
      <c r="B149" s="121">
        <v>1</v>
      </c>
    </row>
    <row r="150" spans="1:2" ht="15">
      <c r="A150" s="102" t="s">
        <v>3172</v>
      </c>
      <c r="B150" s="121">
        <v>1</v>
      </c>
    </row>
    <row r="151" spans="1:2" ht="15">
      <c r="A151" s="101" t="s">
        <v>3131</v>
      </c>
      <c r="B151" s="121">
        <v>1</v>
      </c>
    </row>
    <row r="152" spans="1:2" ht="15">
      <c r="A152" s="102" t="s">
        <v>3173</v>
      </c>
      <c r="B152" s="121">
        <v>1</v>
      </c>
    </row>
    <row r="153" spans="1:2" ht="15">
      <c r="A153" s="101" t="s">
        <v>3145</v>
      </c>
      <c r="B153" s="121">
        <v>2</v>
      </c>
    </row>
    <row r="154" spans="1:2" ht="15">
      <c r="A154" s="102" t="s">
        <v>3174</v>
      </c>
      <c r="B154" s="121">
        <v>1</v>
      </c>
    </row>
    <row r="155" spans="1:2" ht="15">
      <c r="A155" s="102" t="s">
        <v>3175</v>
      </c>
      <c r="B155" s="121">
        <v>1</v>
      </c>
    </row>
    <row r="156" spans="1:2" ht="15">
      <c r="A156" s="101" t="s">
        <v>3151</v>
      </c>
      <c r="B156" s="121">
        <v>2</v>
      </c>
    </row>
    <row r="157" spans="1:2" ht="15">
      <c r="A157" s="102" t="s">
        <v>3154</v>
      </c>
      <c r="B157" s="121">
        <v>2</v>
      </c>
    </row>
    <row r="158" spans="1:2" ht="15">
      <c r="A158" s="100" t="s">
        <v>3058</v>
      </c>
      <c r="B158" s="121">
        <v>195</v>
      </c>
    </row>
  </sheetData>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8512-9FE1-4E8D-AFF6-EE787E0BB066}">
  <dimension ref="A1:C29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3522</v>
      </c>
      <c r="B1" s="7" t="s">
        <v>2627</v>
      </c>
      <c r="C1" s="7" t="s">
        <v>209</v>
      </c>
    </row>
    <row r="2" spans="1:3" ht="15">
      <c r="A2" s="112" t="s">
        <v>228</v>
      </c>
      <c r="B2" s="112" t="s">
        <v>2659</v>
      </c>
      <c r="C2" s="116" t="s">
        <v>1032</v>
      </c>
    </row>
    <row r="3" spans="1:3" ht="15">
      <c r="A3" s="113" t="s">
        <v>228</v>
      </c>
      <c r="B3" s="112" t="s">
        <v>3523</v>
      </c>
      <c r="C3" s="116" t="s">
        <v>1032</v>
      </c>
    </row>
    <row r="4" spans="1:3" ht="15">
      <c r="A4" s="113" t="s">
        <v>228</v>
      </c>
      <c r="B4" s="112">
        <v>2024</v>
      </c>
      <c r="C4" s="116" t="s">
        <v>1032</v>
      </c>
    </row>
    <row r="5" spans="1:3" ht="15">
      <c r="A5" s="113" t="s">
        <v>228</v>
      </c>
      <c r="B5" s="112" t="s">
        <v>3524</v>
      </c>
      <c r="C5" s="116" t="s">
        <v>1032</v>
      </c>
    </row>
    <row r="6" spans="1:3" ht="15">
      <c r="A6" s="113" t="s">
        <v>228</v>
      </c>
      <c r="B6" s="112" t="s">
        <v>2781</v>
      </c>
      <c r="C6" s="116" t="s">
        <v>1032</v>
      </c>
    </row>
    <row r="7" spans="1:3" ht="15">
      <c r="A7" s="113" t="s">
        <v>228</v>
      </c>
      <c r="B7" s="112" t="s">
        <v>3525</v>
      </c>
      <c r="C7" s="116" t="s">
        <v>1032</v>
      </c>
    </row>
    <row r="8" spans="1:3" ht="15">
      <c r="A8" s="113" t="s">
        <v>228</v>
      </c>
      <c r="B8" s="112" t="s">
        <v>2374</v>
      </c>
      <c r="C8" s="116" t="s">
        <v>1032</v>
      </c>
    </row>
    <row r="9" spans="1:3" ht="15">
      <c r="A9" s="113" t="s">
        <v>228</v>
      </c>
      <c r="B9" s="112" t="s">
        <v>2373</v>
      </c>
      <c r="C9" s="116" t="s">
        <v>1032</v>
      </c>
    </row>
    <row r="10" spans="1:3" ht="15">
      <c r="A10" s="113" t="s">
        <v>228</v>
      </c>
      <c r="B10" s="112" t="s">
        <v>681</v>
      </c>
      <c r="C10" s="116" t="s">
        <v>1032</v>
      </c>
    </row>
    <row r="11" spans="1:3" ht="15">
      <c r="A11" s="113" t="s">
        <v>228</v>
      </c>
      <c r="B11" s="112" t="s">
        <v>3526</v>
      </c>
      <c r="C11" s="116" t="s">
        <v>1032</v>
      </c>
    </row>
    <row r="12" spans="1:3" ht="15">
      <c r="A12" s="113" t="s">
        <v>228</v>
      </c>
      <c r="B12" s="112" t="s">
        <v>3527</v>
      </c>
      <c r="C12" s="116" t="s">
        <v>1032</v>
      </c>
    </row>
    <row r="13" spans="1:3" ht="15">
      <c r="A13" s="113" t="s">
        <v>228</v>
      </c>
      <c r="B13" s="112" t="s">
        <v>2377</v>
      </c>
      <c r="C13" s="116" t="s">
        <v>1032</v>
      </c>
    </row>
    <row r="14" spans="1:3" ht="15">
      <c r="A14" s="113" t="s">
        <v>228</v>
      </c>
      <c r="B14" s="112" t="s">
        <v>3528</v>
      </c>
      <c r="C14" s="116" t="s">
        <v>1032</v>
      </c>
    </row>
    <row r="15" spans="1:3" ht="15">
      <c r="A15" s="113" t="s">
        <v>228</v>
      </c>
      <c r="B15" s="112" t="s">
        <v>3529</v>
      </c>
      <c r="C15" s="116" t="s">
        <v>1032</v>
      </c>
    </row>
    <row r="16" spans="1:3" ht="15">
      <c r="A16" s="113" t="s">
        <v>228</v>
      </c>
      <c r="B16" s="112" t="s">
        <v>2677</v>
      </c>
      <c r="C16" s="116" t="s">
        <v>1032</v>
      </c>
    </row>
    <row r="17" spans="1:3" ht="15">
      <c r="A17" s="113" t="s">
        <v>228</v>
      </c>
      <c r="B17" s="112" t="s">
        <v>2381</v>
      </c>
      <c r="C17" s="116" t="s">
        <v>1032</v>
      </c>
    </row>
    <row r="18" spans="1:3" ht="15">
      <c r="A18" s="113" t="s">
        <v>228</v>
      </c>
      <c r="B18" s="112" t="s">
        <v>3530</v>
      </c>
      <c r="C18" s="116" t="s">
        <v>1032</v>
      </c>
    </row>
    <row r="19" spans="1:3" ht="15">
      <c r="A19" s="113" t="s">
        <v>228</v>
      </c>
      <c r="B19" s="112" t="s">
        <v>2636</v>
      </c>
      <c r="C19" s="116" t="s">
        <v>1032</v>
      </c>
    </row>
    <row r="20" spans="1:3" ht="15">
      <c r="A20" s="113" t="s">
        <v>228</v>
      </c>
      <c r="B20" s="112" t="s">
        <v>3531</v>
      </c>
      <c r="C20" s="116" t="s">
        <v>1032</v>
      </c>
    </row>
    <row r="21" spans="1:3" ht="15">
      <c r="A21" s="113" t="s">
        <v>228</v>
      </c>
      <c r="B21" s="112" t="s">
        <v>3532</v>
      </c>
      <c r="C21" s="116" t="s">
        <v>1032</v>
      </c>
    </row>
    <row r="22" spans="1:3" ht="15">
      <c r="A22" s="113" t="s">
        <v>228</v>
      </c>
      <c r="B22" s="112" t="s">
        <v>3533</v>
      </c>
      <c r="C22" s="116" t="s">
        <v>1032</v>
      </c>
    </row>
    <row r="23" spans="1:3" ht="15">
      <c r="A23" s="113" t="s">
        <v>228</v>
      </c>
      <c r="B23" s="112" t="s">
        <v>2929</v>
      </c>
      <c r="C23" s="116" t="s">
        <v>1032</v>
      </c>
    </row>
    <row r="24" spans="1:3" ht="15">
      <c r="A24" s="113" t="s">
        <v>228</v>
      </c>
      <c r="B24" s="112" t="s">
        <v>3534</v>
      </c>
      <c r="C24" s="116" t="s">
        <v>1032</v>
      </c>
    </row>
    <row r="25" spans="1:3" ht="15">
      <c r="A25" s="113" t="s">
        <v>228</v>
      </c>
      <c r="B25" s="112" t="s">
        <v>3535</v>
      </c>
      <c r="C25" s="116" t="s">
        <v>1032</v>
      </c>
    </row>
    <row r="26" spans="1:3" ht="15">
      <c r="A26" s="113" t="s">
        <v>228</v>
      </c>
      <c r="B26" s="112" t="s">
        <v>3536</v>
      </c>
      <c r="C26" s="116" t="s">
        <v>1032</v>
      </c>
    </row>
    <row r="27" spans="1:3" ht="15">
      <c r="A27" s="113" t="s">
        <v>228</v>
      </c>
      <c r="B27" s="112" t="s">
        <v>2997</v>
      </c>
      <c r="C27" s="116" t="s">
        <v>1032</v>
      </c>
    </row>
    <row r="28" spans="1:3" ht="15">
      <c r="A28" s="113" t="s">
        <v>228</v>
      </c>
      <c r="B28" s="112" t="s">
        <v>2653</v>
      </c>
      <c r="C28" s="116" t="s">
        <v>1032</v>
      </c>
    </row>
    <row r="29" spans="1:3" ht="15">
      <c r="A29" s="113" t="s">
        <v>228</v>
      </c>
      <c r="B29" s="112" t="s">
        <v>2648</v>
      </c>
      <c r="C29" s="116" t="s">
        <v>1032</v>
      </c>
    </row>
    <row r="30" spans="1:3" ht="15">
      <c r="A30" s="113" t="s">
        <v>228</v>
      </c>
      <c r="B30" s="112" t="s">
        <v>3537</v>
      </c>
      <c r="C30" s="116" t="s">
        <v>1032</v>
      </c>
    </row>
    <row r="31" spans="1:3" ht="15">
      <c r="A31" s="113" t="s">
        <v>228</v>
      </c>
      <c r="B31" s="112" t="s">
        <v>3538</v>
      </c>
      <c r="C31" s="116" t="s">
        <v>1032</v>
      </c>
    </row>
    <row r="32" spans="1:3" ht="15">
      <c r="A32" s="113" t="s">
        <v>228</v>
      </c>
      <c r="B32" s="112" t="s">
        <v>2379</v>
      </c>
      <c r="C32" s="116" t="s">
        <v>1032</v>
      </c>
    </row>
    <row r="33" spans="1:3" ht="15">
      <c r="A33" s="113" t="s">
        <v>228</v>
      </c>
      <c r="B33" s="112" t="s">
        <v>3539</v>
      </c>
      <c r="C33" s="116" t="s">
        <v>1032</v>
      </c>
    </row>
    <row r="34" spans="1:3" ht="15">
      <c r="A34" s="113" t="s">
        <v>228</v>
      </c>
      <c r="B34" s="112" t="s">
        <v>3540</v>
      </c>
      <c r="C34" s="116" t="s">
        <v>1032</v>
      </c>
    </row>
    <row r="35" spans="1:3" ht="15">
      <c r="A35" s="113" t="s">
        <v>228</v>
      </c>
      <c r="B35" s="112" t="s">
        <v>2764</v>
      </c>
      <c r="C35" s="116" t="s">
        <v>1032</v>
      </c>
    </row>
    <row r="36" spans="1:3" ht="15">
      <c r="A36" s="113" t="s">
        <v>228</v>
      </c>
      <c r="B36" s="112" t="s">
        <v>3541</v>
      </c>
      <c r="C36" s="116" t="s">
        <v>1032</v>
      </c>
    </row>
    <row r="37" spans="1:3" ht="15">
      <c r="A37" s="113" t="s">
        <v>228</v>
      </c>
      <c r="B37" s="112" t="s">
        <v>3542</v>
      </c>
      <c r="C37" s="116" t="s">
        <v>1032</v>
      </c>
    </row>
    <row r="38" spans="1:3" ht="15">
      <c r="A38" s="113" t="s">
        <v>228</v>
      </c>
      <c r="B38" s="112" t="s">
        <v>3543</v>
      </c>
      <c r="C38" s="116" t="s">
        <v>1032</v>
      </c>
    </row>
    <row r="39" spans="1:3" ht="15">
      <c r="A39" s="113" t="s">
        <v>262</v>
      </c>
      <c r="B39" s="112" t="s">
        <v>682</v>
      </c>
      <c r="C39" s="116" t="s">
        <v>1091</v>
      </c>
    </row>
    <row r="40" spans="1:3" ht="15">
      <c r="A40" s="113" t="s">
        <v>262</v>
      </c>
      <c r="B40" s="112" t="s">
        <v>2651</v>
      </c>
      <c r="C40" s="116" t="s">
        <v>1091</v>
      </c>
    </row>
    <row r="41" spans="1:3" ht="15">
      <c r="A41" s="113" t="s">
        <v>262</v>
      </c>
      <c r="B41" s="112" t="s">
        <v>2879</v>
      </c>
      <c r="C41" s="116" t="s">
        <v>1091</v>
      </c>
    </row>
    <row r="42" spans="1:3" ht="15">
      <c r="A42" s="113" t="s">
        <v>262</v>
      </c>
      <c r="B42" s="112" t="s">
        <v>2662</v>
      </c>
      <c r="C42" s="116" t="s">
        <v>1091</v>
      </c>
    </row>
    <row r="43" spans="1:3" ht="15">
      <c r="A43" s="113" t="s">
        <v>262</v>
      </c>
      <c r="B43" s="112" t="s">
        <v>3544</v>
      </c>
      <c r="C43" s="116" t="s">
        <v>1091</v>
      </c>
    </row>
    <row r="44" spans="1:3" ht="15">
      <c r="A44" s="113" t="s">
        <v>262</v>
      </c>
      <c r="B44" s="112" t="s">
        <v>3545</v>
      </c>
      <c r="C44" s="116" t="s">
        <v>1091</v>
      </c>
    </row>
    <row r="45" spans="1:3" ht="15">
      <c r="A45" s="113" t="s">
        <v>262</v>
      </c>
      <c r="B45" s="112" t="s">
        <v>2644</v>
      </c>
      <c r="C45" s="116" t="s">
        <v>1091</v>
      </c>
    </row>
    <row r="46" spans="1:3" ht="15">
      <c r="A46" s="113" t="s">
        <v>262</v>
      </c>
      <c r="B46" s="112" t="s">
        <v>2379</v>
      </c>
      <c r="C46" s="116" t="s">
        <v>1091</v>
      </c>
    </row>
    <row r="47" spans="1:3" ht="15">
      <c r="A47" s="113" t="s">
        <v>262</v>
      </c>
      <c r="B47" s="112" t="s">
        <v>3546</v>
      </c>
      <c r="C47" s="116" t="s">
        <v>1091</v>
      </c>
    </row>
    <row r="48" spans="1:3" ht="15">
      <c r="A48" s="113" t="s">
        <v>262</v>
      </c>
      <c r="B48" s="112" t="s">
        <v>2828</v>
      </c>
      <c r="C48" s="116" t="s">
        <v>1091</v>
      </c>
    </row>
    <row r="49" spans="1:3" ht="15">
      <c r="A49" s="113" t="s">
        <v>262</v>
      </c>
      <c r="B49" s="112" t="s">
        <v>2637</v>
      </c>
      <c r="C49" s="116" t="s">
        <v>1091</v>
      </c>
    </row>
    <row r="50" spans="1:3" ht="15">
      <c r="A50" s="113" t="s">
        <v>262</v>
      </c>
      <c r="B50" s="112" t="s">
        <v>2643</v>
      </c>
      <c r="C50" s="116" t="s">
        <v>1091</v>
      </c>
    </row>
    <row r="51" spans="1:3" ht="15">
      <c r="A51" s="113" t="s">
        <v>262</v>
      </c>
      <c r="B51" s="112" t="s">
        <v>2676</v>
      </c>
      <c r="C51" s="116" t="s">
        <v>1091</v>
      </c>
    </row>
    <row r="52" spans="1:3" ht="15">
      <c r="A52" s="113" t="s">
        <v>262</v>
      </c>
      <c r="B52" s="112" t="s">
        <v>2844</v>
      </c>
      <c r="C52" s="116" t="s">
        <v>1091</v>
      </c>
    </row>
    <row r="53" spans="1:3" ht="15">
      <c r="A53" s="113" t="s">
        <v>262</v>
      </c>
      <c r="B53" s="112" t="s">
        <v>2658</v>
      </c>
      <c r="C53" s="116" t="s">
        <v>1091</v>
      </c>
    </row>
    <row r="54" spans="1:3" ht="15">
      <c r="A54" s="113" t="s">
        <v>262</v>
      </c>
      <c r="B54" s="112" t="s">
        <v>2917</v>
      </c>
      <c r="C54" s="116" t="s">
        <v>1091</v>
      </c>
    </row>
    <row r="55" spans="1:3" ht="15">
      <c r="A55" s="113" t="s">
        <v>222</v>
      </c>
      <c r="B55" s="112" t="s">
        <v>3547</v>
      </c>
      <c r="C55" s="116" t="s">
        <v>1021</v>
      </c>
    </row>
    <row r="56" spans="1:3" ht="15">
      <c r="A56" s="113" t="s">
        <v>222</v>
      </c>
      <c r="B56" s="112" t="s">
        <v>2933</v>
      </c>
      <c r="C56" s="116" t="s">
        <v>1021</v>
      </c>
    </row>
    <row r="57" spans="1:3" ht="15">
      <c r="A57" s="113" t="s">
        <v>222</v>
      </c>
      <c r="B57" s="112" t="s">
        <v>3548</v>
      </c>
      <c r="C57" s="116" t="s">
        <v>1021</v>
      </c>
    </row>
    <row r="58" spans="1:3" ht="15">
      <c r="A58" s="113" t="s">
        <v>222</v>
      </c>
      <c r="B58" s="112" t="s">
        <v>2376</v>
      </c>
      <c r="C58" s="116" t="s">
        <v>1021</v>
      </c>
    </row>
    <row r="59" spans="1:3" ht="15">
      <c r="A59" s="113" t="s">
        <v>222</v>
      </c>
      <c r="B59" s="112" t="s">
        <v>3549</v>
      </c>
      <c r="C59" s="116" t="s">
        <v>1021</v>
      </c>
    </row>
    <row r="60" spans="1:3" ht="15">
      <c r="A60" s="113" t="s">
        <v>222</v>
      </c>
      <c r="B60" s="112" t="s">
        <v>2705</v>
      </c>
      <c r="C60" s="116" t="s">
        <v>1021</v>
      </c>
    </row>
    <row r="61" spans="1:3" ht="15">
      <c r="A61" s="113" t="s">
        <v>222</v>
      </c>
      <c r="B61" s="112" t="s">
        <v>2762</v>
      </c>
      <c r="C61" s="116" t="s">
        <v>1021</v>
      </c>
    </row>
    <row r="62" spans="1:3" ht="15">
      <c r="A62" s="113" t="s">
        <v>222</v>
      </c>
      <c r="B62" s="112" t="s">
        <v>2682</v>
      </c>
      <c r="C62" s="116" t="s">
        <v>1021</v>
      </c>
    </row>
    <row r="63" spans="1:3" ht="15">
      <c r="A63" s="113" t="s">
        <v>222</v>
      </c>
      <c r="B63" s="112" t="s">
        <v>3550</v>
      </c>
      <c r="C63" s="116" t="s">
        <v>1021</v>
      </c>
    </row>
    <row r="64" spans="1:3" ht="15">
      <c r="A64" s="113" t="s">
        <v>222</v>
      </c>
      <c r="B64" s="112" t="s">
        <v>3551</v>
      </c>
      <c r="C64" s="116" t="s">
        <v>1021</v>
      </c>
    </row>
    <row r="65" spans="1:3" ht="15">
      <c r="A65" s="113" t="s">
        <v>222</v>
      </c>
      <c r="B65" s="112" t="s">
        <v>2377</v>
      </c>
      <c r="C65" s="116" t="s">
        <v>1021</v>
      </c>
    </row>
    <row r="66" spans="1:3" ht="15">
      <c r="A66" s="113" t="s">
        <v>222</v>
      </c>
      <c r="B66" s="112" t="s">
        <v>3552</v>
      </c>
      <c r="C66" s="116" t="s">
        <v>1021</v>
      </c>
    </row>
    <row r="67" spans="1:3" ht="15">
      <c r="A67" s="113" t="s">
        <v>222</v>
      </c>
      <c r="B67" s="112" t="s">
        <v>2952</v>
      </c>
      <c r="C67" s="116" t="s">
        <v>1021</v>
      </c>
    </row>
    <row r="68" spans="1:3" ht="15">
      <c r="A68" s="113" t="s">
        <v>222</v>
      </c>
      <c r="B68" s="112" t="s">
        <v>2945</v>
      </c>
      <c r="C68" s="116" t="s">
        <v>1021</v>
      </c>
    </row>
    <row r="69" spans="1:3" ht="15">
      <c r="A69" s="113" t="s">
        <v>222</v>
      </c>
      <c r="B69" s="112" t="s">
        <v>3553</v>
      </c>
      <c r="C69" s="116" t="s">
        <v>1021</v>
      </c>
    </row>
    <row r="70" spans="1:3" ht="15">
      <c r="A70" s="113" t="s">
        <v>222</v>
      </c>
      <c r="B70" s="112" t="s">
        <v>681</v>
      </c>
      <c r="C70" s="116" t="s">
        <v>1021</v>
      </c>
    </row>
    <row r="71" spans="1:3" ht="15">
      <c r="A71" s="113" t="s">
        <v>222</v>
      </c>
      <c r="B71" s="112" t="s">
        <v>2846</v>
      </c>
      <c r="C71" s="116" t="s">
        <v>1021</v>
      </c>
    </row>
    <row r="72" spans="1:3" ht="15">
      <c r="A72" s="113" t="s">
        <v>222</v>
      </c>
      <c r="B72" s="112" t="s">
        <v>2373</v>
      </c>
      <c r="C72" s="116" t="s">
        <v>1021</v>
      </c>
    </row>
    <row r="73" spans="1:3" ht="15">
      <c r="A73" s="113" t="s">
        <v>222</v>
      </c>
      <c r="B73" s="112" t="s">
        <v>3554</v>
      </c>
      <c r="C73" s="116" t="s">
        <v>1021</v>
      </c>
    </row>
    <row r="74" spans="1:3" ht="15">
      <c r="A74" s="113" t="s">
        <v>222</v>
      </c>
      <c r="B74" s="112" t="s">
        <v>2961</v>
      </c>
      <c r="C74" s="116" t="s">
        <v>1021</v>
      </c>
    </row>
    <row r="75" spans="1:3" ht="15">
      <c r="A75" s="113" t="s">
        <v>222</v>
      </c>
      <c r="B75" s="112" t="s">
        <v>3555</v>
      </c>
      <c r="C75" s="116" t="s">
        <v>1021</v>
      </c>
    </row>
    <row r="76" spans="1:3" ht="15">
      <c r="A76" s="113" t="s">
        <v>222</v>
      </c>
      <c r="B76" s="112" t="s">
        <v>2378</v>
      </c>
      <c r="C76" s="116" t="s">
        <v>1021</v>
      </c>
    </row>
    <row r="77" spans="1:3" ht="15">
      <c r="A77" s="113" t="s">
        <v>222</v>
      </c>
      <c r="B77" s="112" t="s">
        <v>2374</v>
      </c>
      <c r="C77" s="116" t="s">
        <v>1021</v>
      </c>
    </row>
    <row r="78" spans="1:3" ht="15">
      <c r="A78" s="113" t="s">
        <v>222</v>
      </c>
      <c r="B78" s="112">
        <v>5</v>
      </c>
      <c r="C78" s="116" t="s">
        <v>1021</v>
      </c>
    </row>
    <row r="79" spans="1:3" ht="15">
      <c r="A79" s="113" t="s">
        <v>222</v>
      </c>
      <c r="B79" s="112">
        <v>71</v>
      </c>
      <c r="C79" s="116" t="s">
        <v>1021</v>
      </c>
    </row>
    <row r="80" spans="1:3" ht="15">
      <c r="A80" s="113" t="s">
        <v>222</v>
      </c>
      <c r="B80" s="112" t="s">
        <v>3556</v>
      </c>
      <c r="C80" s="116" t="s">
        <v>1021</v>
      </c>
    </row>
    <row r="81" spans="1:3" ht="15">
      <c r="A81" s="113" t="s">
        <v>222</v>
      </c>
      <c r="B81" s="112" t="s">
        <v>2996</v>
      </c>
      <c r="C81" s="116" t="s">
        <v>1021</v>
      </c>
    </row>
    <row r="82" spans="1:3" ht="15">
      <c r="A82" s="113" t="s">
        <v>222</v>
      </c>
      <c r="B82" s="112" t="s">
        <v>2944</v>
      </c>
      <c r="C82" s="116" t="s">
        <v>1021</v>
      </c>
    </row>
    <row r="83" spans="1:3" ht="15">
      <c r="A83" s="113" t="s">
        <v>222</v>
      </c>
      <c r="B83" s="112" t="s">
        <v>3557</v>
      </c>
      <c r="C83" s="116" t="s">
        <v>1021</v>
      </c>
    </row>
    <row r="84" spans="1:3" ht="15">
      <c r="A84" s="113" t="s">
        <v>222</v>
      </c>
      <c r="B84" s="112" t="s">
        <v>3558</v>
      </c>
      <c r="C84" s="116" t="s">
        <v>1021</v>
      </c>
    </row>
    <row r="85" spans="1:3" ht="15">
      <c r="A85" s="113" t="s">
        <v>222</v>
      </c>
      <c r="B85" s="112" t="s">
        <v>3559</v>
      </c>
      <c r="C85" s="116" t="s">
        <v>1021</v>
      </c>
    </row>
    <row r="86" spans="1:3" ht="15">
      <c r="A86" s="113" t="s">
        <v>222</v>
      </c>
      <c r="B86" s="112" t="s">
        <v>2778</v>
      </c>
      <c r="C86" s="116" t="s">
        <v>1021</v>
      </c>
    </row>
    <row r="87" spans="1:3" ht="15">
      <c r="A87" s="113" t="s">
        <v>222</v>
      </c>
      <c r="B87" s="112" t="s">
        <v>2379</v>
      </c>
      <c r="C87" s="116" t="s">
        <v>1021</v>
      </c>
    </row>
    <row r="88" spans="1:3" ht="15">
      <c r="A88" s="113" t="s">
        <v>222</v>
      </c>
      <c r="B88" s="112" t="s">
        <v>3560</v>
      </c>
      <c r="C88" s="116" t="s">
        <v>1021</v>
      </c>
    </row>
    <row r="89" spans="1:3" ht="15">
      <c r="A89" s="113" t="s">
        <v>222</v>
      </c>
      <c r="B89" s="112" t="s">
        <v>3561</v>
      </c>
      <c r="C89" s="116" t="s">
        <v>1021</v>
      </c>
    </row>
    <row r="90" spans="1:3" ht="15">
      <c r="A90" s="113" t="s">
        <v>222</v>
      </c>
      <c r="B90" s="112" t="s">
        <v>3562</v>
      </c>
      <c r="C90" s="116" t="s">
        <v>1021</v>
      </c>
    </row>
    <row r="91" spans="1:3" ht="15">
      <c r="A91" s="113" t="s">
        <v>278</v>
      </c>
      <c r="B91" s="112" t="s">
        <v>2374</v>
      </c>
      <c r="C91" s="116" t="s">
        <v>1118</v>
      </c>
    </row>
    <row r="92" spans="1:3" ht="15">
      <c r="A92" s="113" t="s">
        <v>278</v>
      </c>
      <c r="B92" s="112" t="s">
        <v>2373</v>
      </c>
      <c r="C92" s="116" t="s">
        <v>1118</v>
      </c>
    </row>
    <row r="93" spans="1:3" ht="15">
      <c r="A93" s="113" t="s">
        <v>278</v>
      </c>
      <c r="B93" s="112" t="s">
        <v>681</v>
      </c>
      <c r="C93" s="116" t="s">
        <v>1118</v>
      </c>
    </row>
    <row r="94" spans="1:3" ht="15">
      <c r="A94" s="113" t="s">
        <v>298</v>
      </c>
      <c r="B94" s="112" t="s">
        <v>682</v>
      </c>
      <c r="C94" s="116" t="s">
        <v>1153</v>
      </c>
    </row>
    <row r="95" spans="1:3" ht="15">
      <c r="A95" s="113" t="s">
        <v>298</v>
      </c>
      <c r="B95" s="112" t="s">
        <v>3563</v>
      </c>
      <c r="C95" s="116" t="s">
        <v>1153</v>
      </c>
    </row>
    <row r="96" spans="1:3" ht="15">
      <c r="A96" s="113" t="s">
        <v>298</v>
      </c>
      <c r="B96" s="112" t="s">
        <v>3564</v>
      </c>
      <c r="C96" s="116" t="s">
        <v>1153</v>
      </c>
    </row>
    <row r="97" spans="1:3" ht="15">
      <c r="A97" s="113" t="s">
        <v>298</v>
      </c>
      <c r="B97" s="112" t="s">
        <v>2374</v>
      </c>
      <c r="C97" s="116" t="s">
        <v>1153</v>
      </c>
    </row>
    <row r="98" spans="1:3" ht="15">
      <c r="A98" s="113" t="s">
        <v>298</v>
      </c>
      <c r="B98" s="112" t="s">
        <v>2373</v>
      </c>
      <c r="C98" s="116" t="s">
        <v>1153</v>
      </c>
    </row>
    <row r="99" spans="1:3" ht="15">
      <c r="A99" s="113" t="s">
        <v>298</v>
      </c>
      <c r="B99" s="112" t="s">
        <v>2380</v>
      </c>
      <c r="C99" s="116" t="s">
        <v>1153</v>
      </c>
    </row>
    <row r="100" spans="1:3" ht="15">
      <c r="A100" s="113" t="s">
        <v>298</v>
      </c>
      <c r="B100" s="112" t="s">
        <v>2668</v>
      </c>
      <c r="C100" s="116" t="s">
        <v>1153</v>
      </c>
    </row>
    <row r="101" spans="1:3" ht="15">
      <c r="A101" s="113" t="s">
        <v>298</v>
      </c>
      <c r="B101" s="112" t="s">
        <v>3565</v>
      </c>
      <c r="C101" s="116" t="s">
        <v>1153</v>
      </c>
    </row>
    <row r="102" spans="1:3" ht="15">
      <c r="A102" s="113" t="s">
        <v>298</v>
      </c>
      <c r="B102" s="112" t="s">
        <v>3566</v>
      </c>
      <c r="C102" s="116" t="s">
        <v>1153</v>
      </c>
    </row>
    <row r="103" spans="1:3" ht="15">
      <c r="A103" s="113" t="s">
        <v>298</v>
      </c>
      <c r="B103" s="112" t="s">
        <v>2842</v>
      </c>
      <c r="C103" s="116" t="s">
        <v>1153</v>
      </c>
    </row>
    <row r="104" spans="1:3" ht="15">
      <c r="A104" s="113" t="s">
        <v>298</v>
      </c>
      <c r="B104" s="112" t="s">
        <v>318</v>
      </c>
      <c r="C104" s="116" t="s">
        <v>1153</v>
      </c>
    </row>
    <row r="105" spans="1:3" ht="15">
      <c r="A105" s="113" t="s">
        <v>229</v>
      </c>
      <c r="B105" s="112" t="s">
        <v>682</v>
      </c>
      <c r="C105" s="116" t="s">
        <v>1033</v>
      </c>
    </row>
    <row r="106" spans="1:3" ht="15">
      <c r="A106" s="113" t="s">
        <v>329</v>
      </c>
      <c r="B106" s="112" t="s">
        <v>2374</v>
      </c>
      <c r="C106" s="116" t="s">
        <v>1225</v>
      </c>
    </row>
    <row r="107" spans="1:3" ht="15">
      <c r="A107" s="113" t="s">
        <v>329</v>
      </c>
      <c r="B107" s="112" t="s">
        <v>2373</v>
      </c>
      <c r="C107" s="116" t="s">
        <v>1225</v>
      </c>
    </row>
    <row r="108" spans="1:3" ht="15">
      <c r="A108" s="113" t="s">
        <v>329</v>
      </c>
      <c r="B108" s="112" t="s">
        <v>3567</v>
      </c>
      <c r="C108" s="116" t="s">
        <v>1225</v>
      </c>
    </row>
    <row r="109" spans="1:3" ht="15">
      <c r="A109" s="113" t="s">
        <v>329</v>
      </c>
      <c r="B109" s="112" t="s">
        <v>2434</v>
      </c>
      <c r="C109" s="116" t="s">
        <v>1225</v>
      </c>
    </row>
    <row r="110" spans="1:3" ht="15">
      <c r="A110" s="113" t="s">
        <v>329</v>
      </c>
      <c r="B110" s="112" t="s">
        <v>681</v>
      </c>
      <c r="C110" s="116" t="s">
        <v>1225</v>
      </c>
    </row>
    <row r="111" spans="1:3" ht="15">
      <c r="A111" s="113" t="s">
        <v>329</v>
      </c>
      <c r="B111" s="112" t="s">
        <v>2639</v>
      </c>
      <c r="C111" s="116" t="s">
        <v>1225</v>
      </c>
    </row>
    <row r="112" spans="1:3" ht="15">
      <c r="A112" s="113" t="s">
        <v>329</v>
      </c>
      <c r="B112" s="112" t="s">
        <v>3568</v>
      </c>
      <c r="C112" s="116" t="s">
        <v>1225</v>
      </c>
    </row>
    <row r="113" spans="1:3" ht="15">
      <c r="A113" s="113" t="s">
        <v>329</v>
      </c>
      <c r="B113" s="112" t="s">
        <v>3569</v>
      </c>
      <c r="C113" s="116" t="s">
        <v>1225</v>
      </c>
    </row>
    <row r="114" spans="1:3" ht="15">
      <c r="A114" s="113" t="s">
        <v>329</v>
      </c>
      <c r="B114" s="112" t="s">
        <v>2789</v>
      </c>
      <c r="C114" s="116" t="s">
        <v>1225</v>
      </c>
    </row>
    <row r="115" spans="1:3" ht="15">
      <c r="A115" s="113" t="s">
        <v>329</v>
      </c>
      <c r="B115" s="112" t="s">
        <v>2377</v>
      </c>
      <c r="C115" s="116" t="s">
        <v>1225</v>
      </c>
    </row>
    <row r="116" spans="1:3" ht="15">
      <c r="A116" s="113" t="s">
        <v>329</v>
      </c>
      <c r="B116" s="112" t="s">
        <v>3570</v>
      </c>
      <c r="C116" s="116" t="s">
        <v>1225</v>
      </c>
    </row>
    <row r="117" spans="1:3" ht="15">
      <c r="A117" s="113" t="s">
        <v>329</v>
      </c>
      <c r="B117" s="112" t="s">
        <v>2711</v>
      </c>
      <c r="C117" s="116" t="s">
        <v>1225</v>
      </c>
    </row>
    <row r="118" spans="1:3" ht="15">
      <c r="A118" s="113" t="s">
        <v>329</v>
      </c>
      <c r="B118" s="112" t="s">
        <v>2919</v>
      </c>
      <c r="C118" s="116" t="s">
        <v>1225</v>
      </c>
    </row>
    <row r="119" spans="1:3" ht="15">
      <c r="A119" s="113" t="s">
        <v>239</v>
      </c>
      <c r="B119" s="112" t="s">
        <v>2374</v>
      </c>
      <c r="C119" s="116" t="s">
        <v>1050</v>
      </c>
    </row>
    <row r="120" spans="1:3" ht="15">
      <c r="A120" s="113" t="s">
        <v>239</v>
      </c>
      <c r="B120" s="112" t="s">
        <v>2373</v>
      </c>
      <c r="C120" s="116" t="s">
        <v>1050</v>
      </c>
    </row>
    <row r="121" spans="1:3" ht="15">
      <c r="A121" s="113" t="s">
        <v>239</v>
      </c>
      <c r="B121" s="112" t="s">
        <v>681</v>
      </c>
      <c r="C121" s="116" t="s">
        <v>1050</v>
      </c>
    </row>
    <row r="122" spans="1:3" ht="15">
      <c r="A122" s="113" t="s">
        <v>239</v>
      </c>
      <c r="B122" s="112" t="s">
        <v>3571</v>
      </c>
      <c r="C122" s="116" t="s">
        <v>1050</v>
      </c>
    </row>
    <row r="123" spans="1:3" ht="15">
      <c r="A123" s="113" t="s">
        <v>259</v>
      </c>
      <c r="B123" s="112" t="s">
        <v>2374</v>
      </c>
      <c r="C123" s="116" t="s">
        <v>1088</v>
      </c>
    </row>
    <row r="124" spans="1:3" ht="15">
      <c r="A124" s="113" t="s">
        <v>259</v>
      </c>
      <c r="B124" s="112" t="s">
        <v>2373</v>
      </c>
      <c r="C124" s="116" t="s">
        <v>1088</v>
      </c>
    </row>
    <row r="125" spans="1:3" ht="15">
      <c r="A125" s="113" t="s">
        <v>259</v>
      </c>
      <c r="B125" s="112" t="s">
        <v>681</v>
      </c>
      <c r="C125" s="116" t="s">
        <v>1088</v>
      </c>
    </row>
    <row r="126" spans="1:3" ht="15">
      <c r="A126" s="113" t="s">
        <v>275</v>
      </c>
      <c r="B126" s="112" t="s">
        <v>682</v>
      </c>
      <c r="C126" s="116" t="s">
        <v>1114</v>
      </c>
    </row>
    <row r="127" spans="1:3" ht="15">
      <c r="A127" s="113" t="s">
        <v>275</v>
      </c>
      <c r="B127" s="112" t="s">
        <v>399</v>
      </c>
      <c r="C127" s="116" t="s">
        <v>1114</v>
      </c>
    </row>
    <row r="128" spans="1:3" ht="15">
      <c r="A128" s="113" t="s">
        <v>226</v>
      </c>
      <c r="B128" s="112" t="s">
        <v>2374</v>
      </c>
      <c r="C128" s="116" t="s">
        <v>1025</v>
      </c>
    </row>
    <row r="129" spans="1:3" ht="15">
      <c r="A129" s="113" t="s">
        <v>226</v>
      </c>
      <c r="B129" s="112" t="s">
        <v>2373</v>
      </c>
      <c r="C129" s="116" t="s">
        <v>1025</v>
      </c>
    </row>
    <row r="130" spans="1:3" ht="15">
      <c r="A130" s="113" t="s">
        <v>226</v>
      </c>
      <c r="B130" s="112" t="s">
        <v>681</v>
      </c>
      <c r="C130" s="116" t="s">
        <v>1025</v>
      </c>
    </row>
    <row r="131" spans="1:3" ht="15">
      <c r="A131" s="113" t="s">
        <v>226</v>
      </c>
      <c r="B131" s="112" t="s">
        <v>347</v>
      </c>
      <c r="C131" s="116" t="s">
        <v>1025</v>
      </c>
    </row>
    <row r="132" spans="1:3" ht="15">
      <c r="A132" s="113" t="s">
        <v>226</v>
      </c>
      <c r="B132" s="112" t="s">
        <v>348</v>
      </c>
      <c r="C132" s="116" t="s">
        <v>1025</v>
      </c>
    </row>
    <row r="133" spans="1:3" ht="15">
      <c r="A133" s="113" t="s">
        <v>253</v>
      </c>
      <c r="B133" s="112" t="s">
        <v>2789</v>
      </c>
      <c r="C133" s="116" t="s">
        <v>1076</v>
      </c>
    </row>
    <row r="134" spans="1:3" ht="15">
      <c r="A134" s="113" t="s">
        <v>253</v>
      </c>
      <c r="B134" s="112" t="s">
        <v>2679</v>
      </c>
      <c r="C134" s="116" t="s">
        <v>1076</v>
      </c>
    </row>
    <row r="135" spans="1:3" ht="15">
      <c r="A135" s="113" t="s">
        <v>253</v>
      </c>
      <c r="B135" s="112" t="s">
        <v>2859</v>
      </c>
      <c r="C135" s="116" t="s">
        <v>1076</v>
      </c>
    </row>
    <row r="136" spans="1:3" ht="15">
      <c r="A136" s="113" t="s">
        <v>253</v>
      </c>
      <c r="B136" s="112" t="s">
        <v>2670</v>
      </c>
      <c r="C136" s="116" t="s">
        <v>1076</v>
      </c>
    </row>
    <row r="137" spans="1:3" ht="15">
      <c r="A137" s="113" t="s">
        <v>253</v>
      </c>
      <c r="B137" s="112" t="s">
        <v>2668</v>
      </c>
      <c r="C137" s="116" t="s">
        <v>1076</v>
      </c>
    </row>
    <row r="138" spans="1:3" ht="15">
      <c r="A138" s="113" t="s">
        <v>253</v>
      </c>
      <c r="B138" s="112" t="s">
        <v>2374</v>
      </c>
      <c r="C138" s="116" t="s">
        <v>1076</v>
      </c>
    </row>
    <row r="139" spans="1:3" ht="15">
      <c r="A139" s="113" t="s">
        <v>253</v>
      </c>
      <c r="B139" s="112" t="s">
        <v>2373</v>
      </c>
      <c r="C139" s="116" t="s">
        <v>1076</v>
      </c>
    </row>
    <row r="140" spans="1:3" ht="15">
      <c r="A140" s="113" t="s">
        <v>253</v>
      </c>
      <c r="B140" s="112" t="s">
        <v>681</v>
      </c>
      <c r="C140" s="116" t="s">
        <v>1076</v>
      </c>
    </row>
    <row r="141" spans="1:3" ht="15">
      <c r="A141" s="113" t="s">
        <v>253</v>
      </c>
      <c r="B141" s="112" t="s">
        <v>318</v>
      </c>
      <c r="C141" s="116" t="s">
        <v>1076</v>
      </c>
    </row>
    <row r="142" spans="1:3" ht="15">
      <c r="A142" s="113" t="s">
        <v>281</v>
      </c>
      <c r="B142" s="112" t="s">
        <v>3009</v>
      </c>
      <c r="C142" s="116" t="s">
        <v>1122</v>
      </c>
    </row>
    <row r="143" spans="1:3" ht="15">
      <c r="A143" s="113" t="s">
        <v>281</v>
      </c>
      <c r="B143" s="112" t="s">
        <v>2381</v>
      </c>
      <c r="C143" s="116" t="s">
        <v>1122</v>
      </c>
    </row>
    <row r="144" spans="1:3" ht="15">
      <c r="A144" s="113" t="s">
        <v>281</v>
      </c>
      <c r="B144" s="112" t="s">
        <v>3572</v>
      </c>
      <c r="C144" s="116" t="s">
        <v>1122</v>
      </c>
    </row>
    <row r="145" spans="1:3" ht="15">
      <c r="A145" s="113" t="s">
        <v>281</v>
      </c>
      <c r="B145" s="112" t="s">
        <v>3573</v>
      </c>
      <c r="C145" s="116" t="s">
        <v>1122</v>
      </c>
    </row>
    <row r="146" spans="1:3" ht="15">
      <c r="A146" s="113" t="s">
        <v>281</v>
      </c>
      <c r="B146" s="112" t="s">
        <v>2738</v>
      </c>
      <c r="C146" s="116" t="s">
        <v>1122</v>
      </c>
    </row>
    <row r="147" spans="1:3" ht="15">
      <c r="A147" s="113" t="s">
        <v>281</v>
      </c>
      <c r="B147" s="112" t="s">
        <v>3574</v>
      </c>
      <c r="C147" s="116" t="s">
        <v>1122</v>
      </c>
    </row>
    <row r="148" spans="1:3" ht="15">
      <c r="A148" s="113" t="s">
        <v>281</v>
      </c>
      <c r="B148" s="112" t="s">
        <v>2756</v>
      </c>
      <c r="C148" s="116" t="s">
        <v>1122</v>
      </c>
    </row>
    <row r="149" spans="1:3" ht="15">
      <c r="A149" s="113" t="s">
        <v>281</v>
      </c>
      <c r="B149" s="112" t="s">
        <v>3575</v>
      </c>
      <c r="C149" s="116" t="s">
        <v>1122</v>
      </c>
    </row>
    <row r="150" spans="1:3" ht="15">
      <c r="A150" s="113" t="s">
        <v>281</v>
      </c>
      <c r="B150" s="112" t="s">
        <v>2664</v>
      </c>
      <c r="C150" s="116" t="s">
        <v>1122</v>
      </c>
    </row>
    <row r="151" spans="1:3" ht="15">
      <c r="A151" s="113" t="s">
        <v>281</v>
      </c>
      <c r="B151" s="112" t="s">
        <v>2845</v>
      </c>
      <c r="C151" s="116" t="s">
        <v>1122</v>
      </c>
    </row>
    <row r="152" spans="1:3" ht="15">
      <c r="A152" s="113" t="s">
        <v>281</v>
      </c>
      <c r="B152" s="112" t="s">
        <v>2706</v>
      </c>
      <c r="C152" s="116" t="s">
        <v>1122</v>
      </c>
    </row>
    <row r="153" spans="1:3" ht="15">
      <c r="A153" s="113" t="s">
        <v>281</v>
      </c>
      <c r="B153" s="112" t="s">
        <v>3576</v>
      </c>
      <c r="C153" s="116" t="s">
        <v>1122</v>
      </c>
    </row>
    <row r="154" spans="1:3" ht="15">
      <c r="A154" s="113" t="s">
        <v>281</v>
      </c>
      <c r="B154" s="112" t="s">
        <v>2861</v>
      </c>
      <c r="C154" s="116" t="s">
        <v>1122</v>
      </c>
    </row>
    <row r="155" spans="1:3" ht="15">
      <c r="A155" s="113" t="s">
        <v>281</v>
      </c>
      <c r="B155" s="112" t="s">
        <v>2703</v>
      </c>
      <c r="C155" s="116" t="s">
        <v>1122</v>
      </c>
    </row>
    <row r="156" spans="1:3" ht="15">
      <c r="A156" s="113" t="s">
        <v>281</v>
      </c>
      <c r="B156" s="112" t="s">
        <v>2642</v>
      </c>
      <c r="C156" s="116" t="s">
        <v>1122</v>
      </c>
    </row>
    <row r="157" spans="1:3" ht="15">
      <c r="A157" s="113" t="s">
        <v>281</v>
      </c>
      <c r="B157" s="112" t="s">
        <v>3577</v>
      </c>
      <c r="C157" s="116" t="s">
        <v>1122</v>
      </c>
    </row>
    <row r="158" spans="1:3" ht="15">
      <c r="A158" s="113" t="s">
        <v>281</v>
      </c>
      <c r="B158" s="112" t="s">
        <v>2673</v>
      </c>
      <c r="C158" s="116" t="s">
        <v>1122</v>
      </c>
    </row>
    <row r="159" spans="1:3" ht="15">
      <c r="A159" s="113" t="s">
        <v>281</v>
      </c>
      <c r="B159" s="112" t="s">
        <v>2734</v>
      </c>
      <c r="C159" s="116" t="s">
        <v>1122</v>
      </c>
    </row>
    <row r="160" spans="1:3" ht="15">
      <c r="A160" s="113" t="s">
        <v>281</v>
      </c>
      <c r="B160" s="112" t="s">
        <v>3578</v>
      </c>
      <c r="C160" s="116" t="s">
        <v>1122</v>
      </c>
    </row>
    <row r="161" spans="1:3" ht="15">
      <c r="A161" s="113" t="s">
        <v>281</v>
      </c>
      <c r="B161" s="112" t="s">
        <v>2675</v>
      </c>
      <c r="C161" s="116" t="s">
        <v>1122</v>
      </c>
    </row>
    <row r="162" spans="1:3" ht="15">
      <c r="A162" s="113" t="s">
        <v>281</v>
      </c>
      <c r="B162" s="112" t="s">
        <v>2639</v>
      </c>
      <c r="C162" s="116" t="s">
        <v>1122</v>
      </c>
    </row>
    <row r="163" spans="1:3" ht="15">
      <c r="A163" s="113" t="s">
        <v>281</v>
      </c>
      <c r="B163" s="112" t="s">
        <v>2374</v>
      </c>
      <c r="C163" s="116" t="s">
        <v>1122</v>
      </c>
    </row>
    <row r="164" spans="1:3" ht="15">
      <c r="A164" s="113" t="s">
        <v>281</v>
      </c>
      <c r="B164" s="112" t="s">
        <v>2373</v>
      </c>
      <c r="C164" s="116" t="s">
        <v>1122</v>
      </c>
    </row>
    <row r="165" spans="1:3" ht="15">
      <c r="A165" s="113" t="s">
        <v>281</v>
      </c>
      <c r="B165" s="112" t="s">
        <v>2380</v>
      </c>
      <c r="C165" s="116" t="s">
        <v>1122</v>
      </c>
    </row>
    <row r="166" spans="1:3" ht="15">
      <c r="A166" s="113" t="s">
        <v>281</v>
      </c>
      <c r="B166" s="112" t="s">
        <v>2685</v>
      </c>
      <c r="C166" s="116" t="s">
        <v>1122</v>
      </c>
    </row>
    <row r="167" spans="1:3" ht="15">
      <c r="A167" s="113" t="s">
        <v>281</v>
      </c>
      <c r="B167" s="112" t="s">
        <v>2690</v>
      </c>
      <c r="C167" s="116" t="s">
        <v>1122</v>
      </c>
    </row>
    <row r="168" spans="1:3" ht="15">
      <c r="A168" s="113" t="s">
        <v>292</v>
      </c>
      <c r="B168" s="112" t="s">
        <v>2374</v>
      </c>
      <c r="C168" s="116" t="s">
        <v>1146</v>
      </c>
    </row>
    <row r="169" spans="1:3" ht="15">
      <c r="A169" s="113" t="s">
        <v>292</v>
      </c>
      <c r="B169" s="112" t="s">
        <v>2373</v>
      </c>
      <c r="C169" s="116" t="s">
        <v>1146</v>
      </c>
    </row>
    <row r="170" spans="1:3" ht="15">
      <c r="A170" s="113" t="s">
        <v>292</v>
      </c>
      <c r="B170" s="112" t="s">
        <v>681</v>
      </c>
      <c r="C170" s="116" t="s">
        <v>1146</v>
      </c>
    </row>
    <row r="171" spans="1:3" ht="15">
      <c r="A171" s="113" t="s">
        <v>245</v>
      </c>
      <c r="B171" s="112" t="s">
        <v>2374</v>
      </c>
      <c r="C171" s="116" t="s">
        <v>1060</v>
      </c>
    </row>
    <row r="172" spans="1:3" ht="15">
      <c r="A172" s="113" t="s">
        <v>245</v>
      </c>
      <c r="B172" s="112" t="s">
        <v>2373</v>
      </c>
      <c r="C172" s="116" t="s">
        <v>1060</v>
      </c>
    </row>
    <row r="173" spans="1:3" ht="15">
      <c r="A173" s="113" t="s">
        <v>245</v>
      </c>
      <c r="B173" s="112" t="s">
        <v>681</v>
      </c>
      <c r="C173" s="116" t="s">
        <v>1060</v>
      </c>
    </row>
    <row r="174" spans="1:3" ht="15">
      <c r="A174" s="113" t="s">
        <v>295</v>
      </c>
      <c r="B174" s="112" t="s">
        <v>682</v>
      </c>
      <c r="C174" s="116" t="s">
        <v>1150</v>
      </c>
    </row>
    <row r="175" spans="1:3" ht="15">
      <c r="A175" s="113" t="s">
        <v>329</v>
      </c>
      <c r="B175" s="112" t="s">
        <v>705</v>
      </c>
      <c r="C175" s="116" t="s">
        <v>1197</v>
      </c>
    </row>
    <row r="176" spans="1:3" ht="15">
      <c r="A176" s="113" t="s">
        <v>329</v>
      </c>
      <c r="B176" s="112" t="s">
        <v>2639</v>
      </c>
      <c r="C176" s="116" t="s">
        <v>1197</v>
      </c>
    </row>
    <row r="177" spans="1:3" ht="15">
      <c r="A177" s="113" t="s">
        <v>329</v>
      </c>
      <c r="B177" s="112" t="s">
        <v>2912</v>
      </c>
      <c r="C177" s="116" t="s">
        <v>1197</v>
      </c>
    </row>
    <row r="178" spans="1:3" ht="15">
      <c r="A178" s="113" t="s">
        <v>329</v>
      </c>
      <c r="B178" s="112" t="s">
        <v>2648</v>
      </c>
      <c r="C178" s="116" t="s">
        <v>1197</v>
      </c>
    </row>
    <row r="179" spans="1:3" ht="15">
      <c r="A179" s="113" t="s">
        <v>329</v>
      </c>
      <c r="B179" s="112" t="s">
        <v>2644</v>
      </c>
      <c r="C179" s="116" t="s">
        <v>1197</v>
      </c>
    </row>
    <row r="180" spans="1:3" ht="15">
      <c r="A180" s="113" t="s">
        <v>329</v>
      </c>
      <c r="B180" s="112" t="s">
        <v>2638</v>
      </c>
      <c r="C180" s="116" t="s">
        <v>1197</v>
      </c>
    </row>
    <row r="181" spans="1:3" ht="15">
      <c r="A181" s="113" t="s">
        <v>329</v>
      </c>
      <c r="B181" s="112" t="s">
        <v>2979</v>
      </c>
      <c r="C181" s="116" t="s">
        <v>1197</v>
      </c>
    </row>
    <row r="182" spans="1:3" ht="15">
      <c r="A182" s="113" t="s">
        <v>329</v>
      </c>
      <c r="B182" s="112">
        <v>2024</v>
      </c>
      <c r="C182" s="116" t="s">
        <v>1197</v>
      </c>
    </row>
    <row r="183" spans="1:3" ht="15">
      <c r="A183" s="113" t="s">
        <v>329</v>
      </c>
      <c r="B183" s="112" t="s">
        <v>2374</v>
      </c>
      <c r="C183" s="116" t="s">
        <v>1197</v>
      </c>
    </row>
    <row r="184" spans="1:3" ht="15">
      <c r="A184" s="113" t="s">
        <v>329</v>
      </c>
      <c r="B184" s="112" t="s">
        <v>2373</v>
      </c>
      <c r="C184" s="116" t="s">
        <v>1197</v>
      </c>
    </row>
    <row r="185" spans="1:3" ht="15">
      <c r="A185" s="113" t="s">
        <v>329</v>
      </c>
      <c r="B185" s="112" t="s">
        <v>681</v>
      </c>
      <c r="C185" s="116" t="s">
        <v>1197</v>
      </c>
    </row>
    <row r="186" spans="1:3" ht="15">
      <c r="A186" s="113" t="s">
        <v>227</v>
      </c>
      <c r="B186" s="112" t="s">
        <v>2374</v>
      </c>
      <c r="C186" s="116" t="s">
        <v>1031</v>
      </c>
    </row>
    <row r="187" spans="1:3" ht="15">
      <c r="A187" s="113" t="s">
        <v>227</v>
      </c>
      <c r="B187" s="112" t="s">
        <v>2373</v>
      </c>
      <c r="C187" s="116" t="s">
        <v>1031</v>
      </c>
    </row>
    <row r="188" spans="1:3" ht="15">
      <c r="A188" s="113" t="s">
        <v>227</v>
      </c>
      <c r="B188" s="112" t="s">
        <v>681</v>
      </c>
      <c r="C188" s="116" t="s">
        <v>1031</v>
      </c>
    </row>
    <row r="189" spans="1:3" ht="15">
      <c r="A189" s="113" t="s">
        <v>227</v>
      </c>
      <c r="B189" s="112" t="s">
        <v>2959</v>
      </c>
      <c r="C189" s="116" t="s">
        <v>1031</v>
      </c>
    </row>
    <row r="190" spans="1:3" ht="15">
      <c r="A190" s="113" t="s">
        <v>227</v>
      </c>
      <c r="B190" s="112" t="s">
        <v>2900</v>
      </c>
      <c r="C190" s="116" t="s">
        <v>1031</v>
      </c>
    </row>
    <row r="191" spans="1:3" ht="15">
      <c r="A191" s="113" t="s">
        <v>227</v>
      </c>
      <c r="B191" s="112" t="s">
        <v>2376</v>
      </c>
      <c r="C191" s="116" t="s">
        <v>1031</v>
      </c>
    </row>
    <row r="192" spans="1:3" ht="15">
      <c r="A192" s="113" t="s">
        <v>227</v>
      </c>
      <c r="B192" s="112" t="s">
        <v>2685</v>
      </c>
      <c r="C192" s="116" t="s">
        <v>1031</v>
      </c>
    </row>
    <row r="193" spans="1:3" ht="15">
      <c r="A193" s="113" t="s">
        <v>227</v>
      </c>
      <c r="B193" s="112" t="s">
        <v>2690</v>
      </c>
      <c r="C193" s="116" t="s">
        <v>1031</v>
      </c>
    </row>
    <row r="194" spans="1:3" ht="15">
      <c r="A194" s="113" t="s">
        <v>227</v>
      </c>
      <c r="B194" s="112" t="s">
        <v>2642</v>
      </c>
      <c r="C194" s="116" t="s">
        <v>1031</v>
      </c>
    </row>
    <row r="195" spans="1:3" ht="15">
      <c r="A195" s="113" t="s">
        <v>227</v>
      </c>
      <c r="B195" s="112" t="s">
        <v>2652</v>
      </c>
      <c r="C195" s="116" t="s">
        <v>1031</v>
      </c>
    </row>
    <row r="196" spans="1:3" ht="15">
      <c r="A196" s="113" t="s">
        <v>227</v>
      </c>
      <c r="B196" s="112" t="s">
        <v>2637</v>
      </c>
      <c r="C196" s="116" t="s">
        <v>1031</v>
      </c>
    </row>
    <row r="197" spans="1:3" ht="15">
      <c r="A197" s="113" t="s">
        <v>227</v>
      </c>
      <c r="B197" s="112" t="s">
        <v>2643</v>
      </c>
      <c r="C197" s="116" t="s">
        <v>1031</v>
      </c>
    </row>
    <row r="198" spans="1:3" ht="15">
      <c r="A198" s="113" t="s">
        <v>227</v>
      </c>
      <c r="B198" s="112" t="s">
        <v>2775</v>
      </c>
      <c r="C198" s="116" t="s">
        <v>1031</v>
      </c>
    </row>
    <row r="199" spans="1:3" ht="15">
      <c r="A199" s="113" t="s">
        <v>227</v>
      </c>
      <c r="B199" s="112" t="s">
        <v>2806</v>
      </c>
      <c r="C199" s="116" t="s">
        <v>1031</v>
      </c>
    </row>
    <row r="200" spans="1:3" ht="15">
      <c r="A200" s="113" t="s">
        <v>343</v>
      </c>
      <c r="B200" s="112" t="s">
        <v>2374</v>
      </c>
      <c r="C200" s="116" t="s">
        <v>1228</v>
      </c>
    </row>
    <row r="201" spans="1:3" ht="15">
      <c r="A201" s="113" t="s">
        <v>343</v>
      </c>
      <c r="B201" s="112" t="s">
        <v>2373</v>
      </c>
      <c r="C201" s="116" t="s">
        <v>1228</v>
      </c>
    </row>
    <row r="202" spans="1:3" ht="15">
      <c r="A202" s="113" t="s">
        <v>343</v>
      </c>
      <c r="B202" s="112" t="s">
        <v>2645</v>
      </c>
      <c r="C202" s="116" t="s">
        <v>1228</v>
      </c>
    </row>
    <row r="203" spans="1:3" ht="15">
      <c r="A203" s="113" t="s">
        <v>343</v>
      </c>
      <c r="B203" s="112" t="s">
        <v>681</v>
      </c>
      <c r="C203" s="116" t="s">
        <v>1228</v>
      </c>
    </row>
    <row r="204" spans="1:3" ht="15">
      <c r="A204" s="113" t="s">
        <v>343</v>
      </c>
      <c r="B204" s="112" t="s">
        <v>2795</v>
      </c>
      <c r="C204" s="116" t="s">
        <v>1228</v>
      </c>
    </row>
    <row r="205" spans="1:3" ht="15">
      <c r="A205" s="113" t="s">
        <v>343</v>
      </c>
      <c r="B205" s="112" t="s">
        <v>2649</v>
      </c>
      <c r="C205" s="116" t="s">
        <v>1228</v>
      </c>
    </row>
    <row r="206" spans="1:3" ht="15">
      <c r="A206" s="113" t="s">
        <v>343</v>
      </c>
      <c r="B206" s="112" t="s">
        <v>3579</v>
      </c>
      <c r="C206" s="116" t="s">
        <v>1228</v>
      </c>
    </row>
    <row r="207" spans="1:3" ht="15">
      <c r="A207" s="113" t="s">
        <v>343</v>
      </c>
      <c r="B207" s="112" t="s">
        <v>2851</v>
      </c>
      <c r="C207" s="116" t="s">
        <v>1228</v>
      </c>
    </row>
    <row r="208" spans="1:3" ht="15">
      <c r="A208" s="113" t="s">
        <v>343</v>
      </c>
      <c r="B208" s="112" t="s">
        <v>2669</v>
      </c>
      <c r="C208" s="116" t="s">
        <v>1228</v>
      </c>
    </row>
    <row r="209" spans="1:3" ht="15">
      <c r="A209" s="113" t="s">
        <v>343</v>
      </c>
      <c r="B209" s="112" t="s">
        <v>2790</v>
      </c>
      <c r="C209" s="116" t="s">
        <v>1228</v>
      </c>
    </row>
    <row r="210" spans="1:3" ht="15">
      <c r="A210" s="113" t="s">
        <v>343</v>
      </c>
      <c r="B210" s="112" t="s">
        <v>2880</v>
      </c>
      <c r="C210" s="116" t="s">
        <v>1228</v>
      </c>
    </row>
    <row r="211" spans="1:3" ht="15">
      <c r="A211" s="113" t="s">
        <v>343</v>
      </c>
      <c r="B211" s="112" t="s">
        <v>2784</v>
      </c>
      <c r="C211" s="116" t="s">
        <v>1228</v>
      </c>
    </row>
    <row r="212" spans="1:3" ht="15">
      <c r="A212" s="113" t="s">
        <v>343</v>
      </c>
      <c r="B212" s="112" t="s">
        <v>3580</v>
      </c>
      <c r="C212" s="116" t="s">
        <v>1228</v>
      </c>
    </row>
    <row r="213" spans="1:3" ht="15">
      <c r="A213" s="113" t="s">
        <v>343</v>
      </c>
      <c r="B213" s="112" t="s">
        <v>480</v>
      </c>
      <c r="C213" s="116" t="s">
        <v>1228</v>
      </c>
    </row>
    <row r="214" spans="1:3" ht="15">
      <c r="A214" s="113" t="s">
        <v>284</v>
      </c>
      <c r="B214" s="112" t="s">
        <v>2374</v>
      </c>
      <c r="C214" s="116" t="s">
        <v>1135</v>
      </c>
    </row>
    <row r="215" spans="1:3" ht="15">
      <c r="A215" s="113" t="s">
        <v>284</v>
      </c>
      <c r="B215" s="112" t="s">
        <v>2373</v>
      </c>
      <c r="C215" s="116" t="s">
        <v>1135</v>
      </c>
    </row>
    <row r="216" spans="1:3" ht="15">
      <c r="A216" s="113" t="s">
        <v>284</v>
      </c>
      <c r="B216" s="112" t="s">
        <v>681</v>
      </c>
      <c r="C216" s="116" t="s">
        <v>1135</v>
      </c>
    </row>
    <row r="217" spans="1:3" ht="15">
      <c r="A217" s="113" t="s">
        <v>284</v>
      </c>
      <c r="B217" s="112" t="s">
        <v>2814</v>
      </c>
      <c r="C217" s="116" t="s">
        <v>1135</v>
      </c>
    </row>
    <row r="218" spans="1:3" ht="15">
      <c r="A218" s="113" t="s">
        <v>284</v>
      </c>
      <c r="B218" s="112" t="s">
        <v>2746</v>
      </c>
      <c r="C218" s="116" t="s">
        <v>1135</v>
      </c>
    </row>
    <row r="219" spans="1:3" ht="15">
      <c r="A219" s="113" t="s">
        <v>284</v>
      </c>
      <c r="B219" s="112" t="s">
        <v>3581</v>
      </c>
      <c r="C219" s="116" t="s">
        <v>1135</v>
      </c>
    </row>
    <row r="220" spans="1:3" ht="15">
      <c r="A220" s="113" t="s">
        <v>284</v>
      </c>
      <c r="B220" s="112" t="s">
        <v>2921</v>
      </c>
      <c r="C220" s="116" t="s">
        <v>1135</v>
      </c>
    </row>
    <row r="221" spans="1:3" ht="15">
      <c r="A221" s="113" t="s">
        <v>284</v>
      </c>
      <c r="B221" s="112" t="s">
        <v>3582</v>
      </c>
      <c r="C221" s="116" t="s">
        <v>1135</v>
      </c>
    </row>
    <row r="222" spans="1:3" ht="15">
      <c r="A222" s="113" t="s">
        <v>284</v>
      </c>
      <c r="B222" s="112" t="s">
        <v>3583</v>
      </c>
      <c r="C222" s="116" t="s">
        <v>1135</v>
      </c>
    </row>
    <row r="223" spans="1:3" ht="15">
      <c r="A223" s="113" t="s">
        <v>284</v>
      </c>
      <c r="B223" s="112" t="s">
        <v>2377</v>
      </c>
      <c r="C223" s="116" t="s">
        <v>1135</v>
      </c>
    </row>
    <row r="224" spans="1:3" ht="15">
      <c r="A224" s="113" t="s">
        <v>284</v>
      </c>
      <c r="B224" s="112" t="s">
        <v>389</v>
      </c>
      <c r="C224" s="116" t="s">
        <v>1135</v>
      </c>
    </row>
    <row r="225" spans="1:3" ht="15">
      <c r="A225" s="113" t="s">
        <v>284</v>
      </c>
      <c r="B225" s="112" t="s">
        <v>2703</v>
      </c>
      <c r="C225" s="116" t="s">
        <v>1135</v>
      </c>
    </row>
    <row r="226" spans="1:3" ht="15">
      <c r="A226" s="113" t="s">
        <v>284</v>
      </c>
      <c r="B226" s="112" t="s">
        <v>2850</v>
      </c>
      <c r="C226" s="116" t="s">
        <v>1135</v>
      </c>
    </row>
    <row r="227" spans="1:3" ht="15">
      <c r="A227" s="113" t="s">
        <v>284</v>
      </c>
      <c r="B227" s="112" t="s">
        <v>3584</v>
      </c>
      <c r="C227" s="116" t="s">
        <v>1135</v>
      </c>
    </row>
    <row r="228" spans="1:3" ht="15">
      <c r="A228" s="113" t="s">
        <v>284</v>
      </c>
      <c r="B228" s="112" t="s">
        <v>387</v>
      </c>
      <c r="C228" s="116" t="s">
        <v>1135</v>
      </c>
    </row>
    <row r="229" spans="1:3" ht="15">
      <c r="A229" s="113" t="s">
        <v>284</v>
      </c>
      <c r="B229" s="112" t="s">
        <v>2652</v>
      </c>
      <c r="C229" s="116" t="s">
        <v>1135</v>
      </c>
    </row>
    <row r="230" spans="1:3" ht="15">
      <c r="A230" s="113" t="s">
        <v>284</v>
      </c>
      <c r="B230" s="112" t="s">
        <v>2830</v>
      </c>
      <c r="C230" s="116" t="s">
        <v>1135</v>
      </c>
    </row>
    <row r="231" spans="1:3" ht="15">
      <c r="A231" s="113" t="s">
        <v>284</v>
      </c>
      <c r="B231" s="112" t="s">
        <v>3585</v>
      </c>
      <c r="C231" s="116" t="s">
        <v>1135</v>
      </c>
    </row>
    <row r="232" spans="1:3" ht="15">
      <c r="A232" s="113" t="s">
        <v>284</v>
      </c>
      <c r="B232" s="112" t="s">
        <v>2792</v>
      </c>
      <c r="C232" s="116" t="s">
        <v>1135</v>
      </c>
    </row>
    <row r="233" spans="1:3" ht="15">
      <c r="A233" s="113" t="s">
        <v>284</v>
      </c>
      <c r="B233" s="112" t="s">
        <v>3586</v>
      </c>
      <c r="C233" s="116" t="s">
        <v>1135</v>
      </c>
    </row>
    <row r="234" spans="1:3" ht="15">
      <c r="A234" s="113" t="s">
        <v>284</v>
      </c>
      <c r="B234" s="112" t="s">
        <v>270</v>
      </c>
      <c r="C234" s="116" t="s">
        <v>1135</v>
      </c>
    </row>
    <row r="235" spans="1:3" ht="15">
      <c r="A235" s="113" t="s">
        <v>289</v>
      </c>
      <c r="B235" s="112" t="s">
        <v>682</v>
      </c>
      <c r="C235" s="116" t="s">
        <v>1141</v>
      </c>
    </row>
    <row r="236" spans="1:3" ht="15">
      <c r="A236" s="113" t="s">
        <v>289</v>
      </c>
      <c r="B236" s="112" t="s">
        <v>2670</v>
      </c>
      <c r="C236" s="116" t="s">
        <v>1141</v>
      </c>
    </row>
    <row r="237" spans="1:3" ht="15">
      <c r="A237" s="113" t="s">
        <v>289</v>
      </c>
      <c r="B237" s="112" t="s">
        <v>2762</v>
      </c>
      <c r="C237" s="116" t="s">
        <v>1141</v>
      </c>
    </row>
    <row r="238" spans="1:3" ht="15">
      <c r="A238" s="113" t="s">
        <v>289</v>
      </c>
      <c r="B238" s="112" t="s">
        <v>2682</v>
      </c>
      <c r="C238" s="116" t="s">
        <v>1141</v>
      </c>
    </row>
    <row r="239" spans="1:3" ht="15">
      <c r="A239" s="113" t="s">
        <v>289</v>
      </c>
      <c r="B239" s="112" t="s">
        <v>2665</v>
      </c>
      <c r="C239" s="116" t="s">
        <v>1141</v>
      </c>
    </row>
    <row r="240" spans="1:3" ht="15">
      <c r="A240" s="113" t="s">
        <v>289</v>
      </c>
      <c r="B240" s="112" t="s">
        <v>3587</v>
      </c>
      <c r="C240" s="116" t="s">
        <v>1141</v>
      </c>
    </row>
    <row r="241" spans="1:3" ht="15">
      <c r="A241" s="113" t="s">
        <v>289</v>
      </c>
      <c r="B241" s="112" t="s">
        <v>3588</v>
      </c>
      <c r="C241" s="116" t="s">
        <v>1141</v>
      </c>
    </row>
    <row r="242" spans="1:3" ht="15">
      <c r="A242" s="113" t="s">
        <v>289</v>
      </c>
      <c r="B242" s="112" t="s">
        <v>3589</v>
      </c>
      <c r="C242" s="116" t="s">
        <v>1141</v>
      </c>
    </row>
    <row r="243" spans="1:3" ht="15">
      <c r="A243" s="113" t="s">
        <v>289</v>
      </c>
      <c r="B243" s="112" t="s">
        <v>425</v>
      </c>
      <c r="C243" s="116" t="s">
        <v>1141</v>
      </c>
    </row>
    <row r="244" spans="1:3" ht="15">
      <c r="A244" s="113" t="s">
        <v>289</v>
      </c>
      <c r="B244" s="112" t="s">
        <v>400</v>
      </c>
      <c r="C244" s="116" t="s">
        <v>1141</v>
      </c>
    </row>
    <row r="245" spans="1:3" ht="15">
      <c r="A245" s="113" t="s">
        <v>244</v>
      </c>
      <c r="B245" s="112" t="s">
        <v>2466</v>
      </c>
      <c r="C245" s="116" t="s">
        <v>1056</v>
      </c>
    </row>
    <row r="246" spans="1:3" ht="15">
      <c r="A246" s="113" t="s">
        <v>244</v>
      </c>
      <c r="B246" s="112" t="s">
        <v>681</v>
      </c>
      <c r="C246" s="116" t="s">
        <v>1056</v>
      </c>
    </row>
    <row r="247" spans="1:3" ht="15">
      <c r="A247" s="113" t="s">
        <v>244</v>
      </c>
      <c r="B247" s="112" t="s">
        <v>2374</v>
      </c>
      <c r="C247" s="116" t="s">
        <v>1056</v>
      </c>
    </row>
    <row r="248" spans="1:3" ht="15">
      <c r="A248" s="113" t="s">
        <v>244</v>
      </c>
      <c r="B248" s="112" t="s">
        <v>2373</v>
      </c>
      <c r="C248" s="116" t="s">
        <v>1056</v>
      </c>
    </row>
    <row r="249" spans="1:3" ht="15">
      <c r="A249" s="113" t="s">
        <v>244</v>
      </c>
      <c r="B249" s="112" t="s">
        <v>3590</v>
      </c>
      <c r="C249" s="116" t="s">
        <v>1056</v>
      </c>
    </row>
    <row r="250" spans="1:3" ht="15">
      <c r="A250" s="113" t="s">
        <v>244</v>
      </c>
      <c r="B250" s="112" t="s">
        <v>2377</v>
      </c>
      <c r="C250" s="116" t="s">
        <v>1056</v>
      </c>
    </row>
    <row r="251" spans="1:3" ht="15">
      <c r="A251" s="113" t="s">
        <v>244</v>
      </c>
      <c r="B251" s="112" t="s">
        <v>3591</v>
      </c>
      <c r="C251" s="116" t="s">
        <v>1056</v>
      </c>
    </row>
    <row r="252" spans="1:3" ht="15">
      <c r="A252" s="113" t="s">
        <v>244</v>
      </c>
      <c r="B252" s="112" t="s">
        <v>2651</v>
      </c>
      <c r="C252" s="116" t="s">
        <v>1056</v>
      </c>
    </row>
    <row r="253" spans="1:3" ht="15">
      <c r="A253" s="113" t="s">
        <v>244</v>
      </c>
      <c r="B253" s="112" t="s">
        <v>3592</v>
      </c>
      <c r="C253" s="116" t="s">
        <v>1056</v>
      </c>
    </row>
    <row r="254" spans="1:3" ht="15">
      <c r="A254" s="113" t="s">
        <v>244</v>
      </c>
      <c r="B254" s="112" t="s">
        <v>3593</v>
      </c>
      <c r="C254" s="116" t="s">
        <v>1056</v>
      </c>
    </row>
    <row r="255" spans="1:3" ht="15">
      <c r="A255" s="113" t="s">
        <v>244</v>
      </c>
      <c r="B255" s="112" t="s">
        <v>2636</v>
      </c>
      <c r="C255" s="116" t="s">
        <v>1056</v>
      </c>
    </row>
    <row r="256" spans="1:3" ht="15">
      <c r="A256" s="113" t="s">
        <v>287</v>
      </c>
      <c r="B256" s="112" t="s">
        <v>2952</v>
      </c>
      <c r="C256" s="116" t="s">
        <v>1139</v>
      </c>
    </row>
    <row r="257" spans="1:3" ht="15">
      <c r="A257" s="113" t="s">
        <v>287</v>
      </c>
      <c r="B257" s="112" t="s">
        <v>2710</v>
      </c>
      <c r="C257" s="116" t="s">
        <v>1139</v>
      </c>
    </row>
    <row r="258" spans="1:3" ht="15">
      <c r="A258" s="113" t="s">
        <v>287</v>
      </c>
      <c r="B258" s="112" t="s">
        <v>681</v>
      </c>
      <c r="C258" s="116" t="s">
        <v>1139</v>
      </c>
    </row>
    <row r="259" spans="1:3" ht="15">
      <c r="A259" s="113" t="s">
        <v>287</v>
      </c>
      <c r="B259" s="112" t="s">
        <v>3594</v>
      </c>
      <c r="C259" s="116" t="s">
        <v>1139</v>
      </c>
    </row>
    <row r="260" spans="1:3" ht="15">
      <c r="A260" s="113" t="s">
        <v>287</v>
      </c>
      <c r="B260" s="112" t="s">
        <v>3595</v>
      </c>
      <c r="C260" s="116" t="s">
        <v>1139</v>
      </c>
    </row>
    <row r="261" spans="1:3" ht="15">
      <c r="A261" s="113" t="s">
        <v>287</v>
      </c>
      <c r="B261" s="112" t="s">
        <v>2381</v>
      </c>
      <c r="C261" s="116" t="s">
        <v>1139</v>
      </c>
    </row>
    <row r="262" spans="1:3" ht="15">
      <c r="A262" s="113" t="s">
        <v>287</v>
      </c>
      <c r="B262" s="112" t="s">
        <v>2374</v>
      </c>
      <c r="C262" s="116" t="s">
        <v>1139</v>
      </c>
    </row>
    <row r="263" spans="1:3" ht="15">
      <c r="A263" s="113" t="s">
        <v>287</v>
      </c>
      <c r="B263" s="112" t="s">
        <v>2373</v>
      </c>
      <c r="C263" s="116" t="s">
        <v>1139</v>
      </c>
    </row>
    <row r="264" spans="1:3" ht="15">
      <c r="A264" s="113" t="s">
        <v>287</v>
      </c>
      <c r="B264" s="112" t="s">
        <v>3596</v>
      </c>
      <c r="C264" s="116" t="s">
        <v>1139</v>
      </c>
    </row>
    <row r="265" spans="1:3" ht="15">
      <c r="A265" s="113" t="s">
        <v>287</v>
      </c>
      <c r="B265" s="112" t="s">
        <v>2644</v>
      </c>
      <c r="C265" s="116" t="s">
        <v>1139</v>
      </c>
    </row>
    <row r="266" spans="1:3" ht="15">
      <c r="A266" s="113" t="s">
        <v>287</v>
      </c>
      <c r="B266" s="112" t="s">
        <v>2656</v>
      </c>
      <c r="C266" s="116" t="s">
        <v>1139</v>
      </c>
    </row>
    <row r="267" spans="1:3" ht="15">
      <c r="A267" s="113" t="s">
        <v>287</v>
      </c>
      <c r="B267" s="112" t="s">
        <v>2981</v>
      </c>
      <c r="C267" s="116" t="s">
        <v>1139</v>
      </c>
    </row>
    <row r="268" spans="1:3" ht="15">
      <c r="A268" s="113" t="s">
        <v>287</v>
      </c>
      <c r="B268" s="112" t="s">
        <v>3597</v>
      </c>
      <c r="C268" s="116" t="s">
        <v>1139</v>
      </c>
    </row>
    <row r="269" spans="1:3" ht="15">
      <c r="A269" s="113" t="s">
        <v>256</v>
      </c>
      <c r="B269" s="112" t="s">
        <v>688</v>
      </c>
      <c r="C269" s="116" t="s">
        <v>1079</v>
      </c>
    </row>
    <row r="270" spans="1:3" ht="15">
      <c r="A270" s="113" t="s">
        <v>256</v>
      </c>
      <c r="B270" s="112" t="s">
        <v>3598</v>
      </c>
      <c r="C270" s="116" t="s">
        <v>1079</v>
      </c>
    </row>
    <row r="271" spans="1:3" ht="15">
      <c r="A271" s="113" t="s">
        <v>256</v>
      </c>
      <c r="B271" s="112" t="s">
        <v>3599</v>
      </c>
      <c r="C271" s="116" t="s">
        <v>1079</v>
      </c>
    </row>
    <row r="272" spans="1:3" ht="15">
      <c r="A272" s="113" t="s">
        <v>256</v>
      </c>
      <c r="B272" s="112" t="s">
        <v>2653</v>
      </c>
      <c r="C272" s="116" t="s">
        <v>1079</v>
      </c>
    </row>
    <row r="273" spans="1:3" ht="15">
      <c r="A273" s="113" t="s">
        <v>256</v>
      </c>
      <c r="B273" s="112" t="s">
        <v>3600</v>
      </c>
      <c r="C273" s="116" t="s">
        <v>1079</v>
      </c>
    </row>
    <row r="274" spans="1:3" ht="15">
      <c r="A274" s="113" t="s">
        <v>256</v>
      </c>
      <c r="B274" s="112" t="s">
        <v>2374</v>
      </c>
      <c r="C274" s="116" t="s">
        <v>1079</v>
      </c>
    </row>
    <row r="275" spans="1:3" ht="15">
      <c r="A275" s="113" t="s">
        <v>256</v>
      </c>
      <c r="B275" s="112" t="s">
        <v>2373</v>
      </c>
      <c r="C275" s="116" t="s">
        <v>1079</v>
      </c>
    </row>
    <row r="276" spans="1:3" ht="15">
      <c r="A276" s="113" t="s">
        <v>256</v>
      </c>
      <c r="B276" s="112" t="s">
        <v>2978</v>
      </c>
      <c r="C276" s="116" t="s">
        <v>1079</v>
      </c>
    </row>
    <row r="277" spans="1:3" ht="15">
      <c r="A277" s="113" t="s">
        <v>256</v>
      </c>
      <c r="B277" s="112" t="s">
        <v>2714</v>
      </c>
      <c r="C277" s="116" t="s">
        <v>1079</v>
      </c>
    </row>
    <row r="278" spans="1:3" ht="15">
      <c r="A278" s="113" t="s">
        <v>256</v>
      </c>
      <c r="B278" s="112" t="s">
        <v>2960</v>
      </c>
      <c r="C278" s="116" t="s">
        <v>1079</v>
      </c>
    </row>
    <row r="279" spans="1:3" ht="15">
      <c r="A279" s="113" t="s">
        <v>256</v>
      </c>
      <c r="B279" s="112" t="s">
        <v>3601</v>
      </c>
      <c r="C279" s="116" t="s">
        <v>1079</v>
      </c>
    </row>
    <row r="280" spans="1:3" ht="15">
      <c r="A280" s="113" t="s">
        <v>256</v>
      </c>
      <c r="B280" s="112" t="s">
        <v>3602</v>
      </c>
      <c r="C280" s="116" t="s">
        <v>1079</v>
      </c>
    </row>
    <row r="281" spans="1:3" ht="15">
      <c r="A281" s="113" t="s">
        <v>256</v>
      </c>
      <c r="B281" s="112" t="s">
        <v>2641</v>
      </c>
      <c r="C281" s="116" t="s">
        <v>1079</v>
      </c>
    </row>
    <row r="282" spans="1:3" ht="15">
      <c r="A282" s="113" t="s">
        <v>256</v>
      </c>
      <c r="B282" s="112" t="s">
        <v>3603</v>
      </c>
      <c r="C282" s="116" t="s">
        <v>1079</v>
      </c>
    </row>
    <row r="283" spans="1:3" ht="15">
      <c r="A283" s="113" t="s">
        <v>256</v>
      </c>
      <c r="B283" s="112" t="s">
        <v>3604</v>
      </c>
      <c r="C283" s="116" t="s">
        <v>1079</v>
      </c>
    </row>
    <row r="284" spans="1:3" ht="15">
      <c r="A284" s="113" t="s">
        <v>256</v>
      </c>
      <c r="B284" s="112" t="s">
        <v>2771</v>
      </c>
      <c r="C284" s="116" t="s">
        <v>1079</v>
      </c>
    </row>
    <row r="285" spans="1:3" ht="15">
      <c r="A285" s="113" t="s">
        <v>256</v>
      </c>
      <c r="B285" s="112" t="s">
        <v>3605</v>
      </c>
      <c r="C285" s="116" t="s">
        <v>1079</v>
      </c>
    </row>
    <row r="286" spans="1:3" ht="15">
      <c r="A286" s="113" t="s">
        <v>256</v>
      </c>
      <c r="B286" s="112" t="s">
        <v>3606</v>
      </c>
      <c r="C286" s="116" t="s">
        <v>1079</v>
      </c>
    </row>
    <row r="287" spans="1:3" ht="15">
      <c r="A287" s="113" t="s">
        <v>256</v>
      </c>
      <c r="B287" s="112" t="s">
        <v>2644</v>
      </c>
      <c r="C287" s="116" t="s">
        <v>1079</v>
      </c>
    </row>
    <row r="288" spans="1:3" ht="15">
      <c r="A288" s="113" t="s">
        <v>256</v>
      </c>
      <c r="B288" s="112" t="s">
        <v>2733</v>
      </c>
      <c r="C288" s="116" t="s">
        <v>1079</v>
      </c>
    </row>
    <row r="289" spans="1:3" ht="15">
      <c r="A289" s="113" t="s">
        <v>256</v>
      </c>
      <c r="B289" s="112" t="s">
        <v>2847</v>
      </c>
      <c r="C289" s="116" t="s">
        <v>1079</v>
      </c>
    </row>
    <row r="290" spans="1:3" ht="15">
      <c r="A290" s="113" t="s">
        <v>256</v>
      </c>
      <c r="B290" s="112" t="s">
        <v>2381</v>
      </c>
      <c r="C290" s="116" t="s">
        <v>1079</v>
      </c>
    </row>
    <row r="291" spans="1:3" ht="15">
      <c r="A291" s="113" t="s">
        <v>256</v>
      </c>
      <c r="B291" s="112" t="s">
        <v>3607</v>
      </c>
      <c r="C291" s="116" t="s">
        <v>1079</v>
      </c>
    </row>
    <row r="292" spans="1:3" ht="15">
      <c r="A292" s="113" t="s">
        <v>256</v>
      </c>
      <c r="B292" s="112" t="s">
        <v>2698</v>
      </c>
      <c r="C292" s="116" t="s">
        <v>1079</v>
      </c>
    </row>
    <row r="293" spans="1:3" ht="15">
      <c r="A293" s="113" t="s">
        <v>256</v>
      </c>
      <c r="B293" s="112" t="s">
        <v>2737</v>
      </c>
      <c r="C293" s="116" t="s">
        <v>1079</v>
      </c>
    </row>
    <row r="294" spans="1:3" ht="15">
      <c r="A294" s="113" t="s">
        <v>256</v>
      </c>
      <c r="B294" s="112" t="s">
        <v>2813</v>
      </c>
      <c r="C294" s="116" t="s">
        <v>1079</v>
      </c>
    </row>
    <row r="295" spans="1:3" ht="15">
      <c r="A295" s="113" t="s">
        <v>256</v>
      </c>
      <c r="B295" s="112" t="s">
        <v>3608</v>
      </c>
      <c r="C295" s="116" t="s">
        <v>1079</v>
      </c>
    </row>
    <row r="296" spans="1:3" ht="15">
      <c r="A296" s="113" t="s">
        <v>256</v>
      </c>
      <c r="B296" s="112" t="s">
        <v>2379</v>
      </c>
      <c r="C296" s="116" t="s">
        <v>1079</v>
      </c>
    </row>
    <row r="297" spans="1:3" ht="15">
      <c r="A297" s="113" t="s">
        <v>256</v>
      </c>
      <c r="B297" s="112" t="s">
        <v>3609</v>
      </c>
      <c r="C297" s="116" t="s">
        <v>1079</v>
      </c>
    </row>
    <row r="298" spans="1:3" ht="15">
      <c r="A298" s="113" t="s">
        <v>256</v>
      </c>
      <c r="B298" s="112" t="s">
        <v>3610</v>
      </c>
      <c r="C298" s="116" t="s">
        <v>1079</v>
      </c>
    </row>
    <row r="299" spans="1:3" ht="15">
      <c r="A299" s="113" t="s">
        <v>256</v>
      </c>
      <c r="B299" s="112" t="s">
        <v>2980</v>
      </c>
      <c r="C299" s="116" t="s">
        <v>1079</v>
      </c>
    </row>
    <row r="300" spans="1:3" ht="15">
      <c r="A300" s="113" t="s">
        <v>256</v>
      </c>
      <c r="B300" s="112" t="s">
        <v>3003</v>
      </c>
      <c r="C300" s="116" t="s">
        <v>1079</v>
      </c>
    </row>
    <row r="301" spans="1:3" ht="15">
      <c r="A301" s="113" t="s">
        <v>256</v>
      </c>
      <c r="B301" s="112" t="s">
        <v>681</v>
      </c>
      <c r="C301" s="116" t="s">
        <v>1079</v>
      </c>
    </row>
    <row r="302" spans="1:3" ht="15">
      <c r="A302" s="113" t="s">
        <v>256</v>
      </c>
      <c r="B302" s="112" t="s">
        <v>375</v>
      </c>
      <c r="C302" s="116" t="s">
        <v>1079</v>
      </c>
    </row>
    <row r="303" spans="1:3" ht="15">
      <c r="A303" s="113" t="s">
        <v>256</v>
      </c>
      <c r="B303" s="112" t="s">
        <v>376</v>
      </c>
      <c r="C303" s="116" t="s">
        <v>1079</v>
      </c>
    </row>
    <row r="304" spans="1:3" ht="15">
      <c r="A304" s="113" t="s">
        <v>245</v>
      </c>
      <c r="B304" s="112" t="s">
        <v>685</v>
      </c>
      <c r="C304" s="116" t="s">
        <v>1062</v>
      </c>
    </row>
    <row r="305" spans="1:3" ht="15">
      <c r="A305" s="113" t="s">
        <v>245</v>
      </c>
      <c r="B305" s="112" t="s">
        <v>2374</v>
      </c>
      <c r="C305" s="116" t="s">
        <v>1062</v>
      </c>
    </row>
    <row r="306" spans="1:3" ht="15">
      <c r="A306" s="113" t="s">
        <v>245</v>
      </c>
      <c r="B306" s="112" t="s">
        <v>2373</v>
      </c>
      <c r="C306" s="116" t="s">
        <v>1062</v>
      </c>
    </row>
    <row r="307" spans="1:3" ht="15">
      <c r="A307" s="113" t="s">
        <v>245</v>
      </c>
      <c r="B307" s="112" t="s">
        <v>681</v>
      </c>
      <c r="C307" s="116" t="s">
        <v>1062</v>
      </c>
    </row>
    <row r="308" spans="1:3" ht="15">
      <c r="A308" s="113" t="s">
        <v>245</v>
      </c>
      <c r="B308" s="112" t="s">
        <v>2686</v>
      </c>
      <c r="C308" s="116" t="s">
        <v>1062</v>
      </c>
    </row>
    <row r="309" spans="1:3" ht="15">
      <c r="A309" s="113" t="s">
        <v>245</v>
      </c>
      <c r="B309" s="112" t="s">
        <v>2638</v>
      </c>
      <c r="C309" s="116" t="s">
        <v>1062</v>
      </c>
    </row>
    <row r="310" spans="1:3" ht="15">
      <c r="A310" s="113" t="s">
        <v>245</v>
      </c>
      <c r="B310" s="112" t="s">
        <v>2660</v>
      </c>
      <c r="C310" s="116" t="s">
        <v>1062</v>
      </c>
    </row>
    <row r="311" spans="1:3" ht="15">
      <c r="A311" s="113" t="s">
        <v>245</v>
      </c>
      <c r="B311" s="112" t="s">
        <v>2639</v>
      </c>
      <c r="C311" s="116" t="s">
        <v>1062</v>
      </c>
    </row>
    <row r="312" spans="1:3" ht="15">
      <c r="A312" s="113" t="s">
        <v>245</v>
      </c>
      <c r="B312" s="112" t="s">
        <v>2738</v>
      </c>
      <c r="C312" s="116" t="s">
        <v>1062</v>
      </c>
    </row>
    <row r="313" spans="1:3" ht="15">
      <c r="A313" s="113" t="s">
        <v>245</v>
      </c>
      <c r="B313" s="112" t="s">
        <v>2672</v>
      </c>
      <c r="C313" s="116" t="s">
        <v>1062</v>
      </c>
    </row>
    <row r="314" spans="1:3" ht="15">
      <c r="A314" s="113" t="s">
        <v>245</v>
      </c>
      <c r="B314" s="112" t="s">
        <v>2802</v>
      </c>
      <c r="C314" s="116" t="s">
        <v>1062</v>
      </c>
    </row>
    <row r="315" spans="1:3" ht="15">
      <c r="A315" s="113" t="s">
        <v>245</v>
      </c>
      <c r="B315" s="112" t="s">
        <v>2993</v>
      </c>
      <c r="C315" s="116" t="s">
        <v>1062</v>
      </c>
    </row>
    <row r="316" spans="1:3" ht="15">
      <c r="A316" s="113" t="s">
        <v>245</v>
      </c>
      <c r="B316" s="112" t="s">
        <v>2700</v>
      </c>
      <c r="C316" s="116" t="s">
        <v>1062</v>
      </c>
    </row>
    <row r="317" spans="1:3" ht="15">
      <c r="A317" s="113" t="s">
        <v>245</v>
      </c>
      <c r="B317" s="112" t="s">
        <v>2377</v>
      </c>
      <c r="C317" s="116" t="s">
        <v>1062</v>
      </c>
    </row>
    <row r="318" spans="1:3" ht="15">
      <c r="A318" s="113" t="s">
        <v>245</v>
      </c>
      <c r="B318" s="112" t="s">
        <v>3611</v>
      </c>
      <c r="C318" s="116" t="s">
        <v>1062</v>
      </c>
    </row>
    <row r="319" spans="1:3" ht="15">
      <c r="A319" s="113" t="s">
        <v>245</v>
      </c>
      <c r="B319" s="112">
        <v>45</v>
      </c>
      <c r="C319" s="116" t="s">
        <v>1062</v>
      </c>
    </row>
    <row r="320" spans="1:3" ht="15">
      <c r="A320" s="113" t="s">
        <v>245</v>
      </c>
      <c r="B320" s="112" t="s">
        <v>2811</v>
      </c>
      <c r="C320" s="116" t="s">
        <v>1062</v>
      </c>
    </row>
    <row r="321" spans="1:3" ht="15">
      <c r="A321" s="113" t="s">
        <v>245</v>
      </c>
      <c r="B321" s="112" t="s">
        <v>3612</v>
      </c>
      <c r="C321" s="116" t="s">
        <v>1062</v>
      </c>
    </row>
    <row r="322" spans="1:3" ht="15">
      <c r="A322" s="113" t="s">
        <v>245</v>
      </c>
      <c r="B322" s="112" t="s">
        <v>2808</v>
      </c>
      <c r="C322" s="116" t="s">
        <v>1062</v>
      </c>
    </row>
    <row r="323" spans="1:3" ht="15">
      <c r="A323" s="113" t="s">
        <v>245</v>
      </c>
      <c r="B323" s="112" t="s">
        <v>3613</v>
      </c>
      <c r="C323" s="116" t="s">
        <v>1062</v>
      </c>
    </row>
    <row r="324" spans="1:3" ht="15">
      <c r="A324" s="113" t="s">
        <v>245</v>
      </c>
      <c r="B324" s="112" t="s">
        <v>2921</v>
      </c>
      <c r="C324" s="116" t="s">
        <v>1062</v>
      </c>
    </row>
    <row r="325" spans="1:3" ht="15">
      <c r="A325" s="113" t="s">
        <v>245</v>
      </c>
      <c r="B325" s="112" t="s">
        <v>2883</v>
      </c>
      <c r="C325" s="116" t="s">
        <v>1062</v>
      </c>
    </row>
    <row r="326" spans="1:3" ht="15">
      <c r="A326" s="113" t="s">
        <v>245</v>
      </c>
      <c r="B326" s="112" t="s">
        <v>3614</v>
      </c>
      <c r="C326" s="116" t="s">
        <v>1062</v>
      </c>
    </row>
    <row r="327" spans="1:3" ht="15">
      <c r="A327" s="113" t="s">
        <v>245</v>
      </c>
      <c r="B327" s="112" t="s">
        <v>3615</v>
      </c>
      <c r="C327" s="116" t="s">
        <v>1062</v>
      </c>
    </row>
    <row r="328" spans="1:3" ht="15">
      <c r="A328" s="113" t="s">
        <v>245</v>
      </c>
      <c r="B328" s="112">
        <v>0</v>
      </c>
      <c r="C328" s="116" t="s">
        <v>1062</v>
      </c>
    </row>
    <row r="329" spans="1:3" ht="15">
      <c r="A329" s="113" t="s">
        <v>245</v>
      </c>
      <c r="B329" s="112" t="s">
        <v>2380</v>
      </c>
      <c r="C329" s="116" t="s">
        <v>1062</v>
      </c>
    </row>
    <row r="330" spans="1:3" ht="15">
      <c r="A330" s="113" t="s">
        <v>245</v>
      </c>
      <c r="B330" s="112" t="s">
        <v>3006</v>
      </c>
      <c r="C330" s="116" t="s">
        <v>1062</v>
      </c>
    </row>
    <row r="331" spans="1:3" ht="15">
      <c r="A331" s="113" t="s">
        <v>245</v>
      </c>
      <c r="B331" s="112" t="s">
        <v>2642</v>
      </c>
      <c r="C331" s="116" t="s">
        <v>1062</v>
      </c>
    </row>
    <row r="332" spans="1:3" ht="15">
      <c r="A332" s="113" t="s">
        <v>245</v>
      </c>
      <c r="B332" s="112" t="s">
        <v>3616</v>
      </c>
      <c r="C332" s="116" t="s">
        <v>1062</v>
      </c>
    </row>
    <row r="333" spans="1:3" ht="15">
      <c r="A333" s="113" t="s">
        <v>329</v>
      </c>
      <c r="B333" s="112" t="s">
        <v>682</v>
      </c>
      <c r="C333" s="116" t="s">
        <v>1227</v>
      </c>
    </row>
    <row r="334" spans="1:3" ht="15">
      <c r="A334" s="113" t="s">
        <v>329</v>
      </c>
      <c r="B334" s="112" t="s">
        <v>3617</v>
      </c>
      <c r="C334" s="116" t="s">
        <v>1227</v>
      </c>
    </row>
    <row r="335" spans="1:3" ht="15">
      <c r="A335" s="113" t="s">
        <v>329</v>
      </c>
      <c r="B335" s="112" t="s">
        <v>2723</v>
      </c>
      <c r="C335" s="116" t="s">
        <v>1227</v>
      </c>
    </row>
    <row r="336" spans="1:3" ht="15">
      <c r="A336" s="113" t="s">
        <v>329</v>
      </c>
      <c r="B336" s="112" t="s">
        <v>3618</v>
      </c>
      <c r="C336" s="116" t="s">
        <v>1227</v>
      </c>
    </row>
    <row r="337" spans="1:3" ht="15">
      <c r="A337" s="113" t="s">
        <v>329</v>
      </c>
      <c r="B337" s="112" t="s">
        <v>2647</v>
      </c>
      <c r="C337" s="116" t="s">
        <v>1227</v>
      </c>
    </row>
    <row r="338" spans="1:3" ht="15">
      <c r="A338" s="113" t="s">
        <v>329</v>
      </c>
      <c r="B338" s="112" t="s">
        <v>3619</v>
      </c>
      <c r="C338" s="116" t="s">
        <v>1227</v>
      </c>
    </row>
    <row r="339" spans="1:3" ht="15">
      <c r="A339" s="113" t="s">
        <v>329</v>
      </c>
      <c r="B339" s="112" t="s">
        <v>2764</v>
      </c>
      <c r="C339" s="116" t="s">
        <v>1227</v>
      </c>
    </row>
    <row r="340" spans="1:3" ht="15">
      <c r="A340" s="113" t="s">
        <v>329</v>
      </c>
      <c r="B340" s="112" t="s">
        <v>2789</v>
      </c>
      <c r="C340" s="116" t="s">
        <v>1227</v>
      </c>
    </row>
    <row r="341" spans="1:3" ht="15">
      <c r="A341" s="113" t="s">
        <v>329</v>
      </c>
      <c r="B341" s="112" t="s">
        <v>2376</v>
      </c>
      <c r="C341" s="116" t="s">
        <v>1227</v>
      </c>
    </row>
    <row r="342" spans="1:3" ht="15">
      <c r="A342" s="113" t="s">
        <v>329</v>
      </c>
      <c r="B342" s="112" t="s">
        <v>2762</v>
      </c>
      <c r="C342" s="116" t="s">
        <v>1227</v>
      </c>
    </row>
    <row r="343" spans="1:3" ht="15">
      <c r="A343" s="113" t="s">
        <v>329</v>
      </c>
      <c r="B343" s="112" t="s">
        <v>2682</v>
      </c>
      <c r="C343" s="116" t="s">
        <v>1227</v>
      </c>
    </row>
    <row r="344" spans="1:3" ht="15">
      <c r="A344" s="113" t="s">
        <v>329</v>
      </c>
      <c r="B344" s="112" t="s">
        <v>2895</v>
      </c>
      <c r="C344" s="116" t="s">
        <v>1227</v>
      </c>
    </row>
    <row r="345" spans="1:3" ht="15">
      <c r="A345" s="113" t="s">
        <v>329</v>
      </c>
      <c r="B345" s="112" t="s">
        <v>3620</v>
      </c>
      <c r="C345" s="116" t="s">
        <v>1227</v>
      </c>
    </row>
    <row r="346" spans="1:3" ht="15">
      <c r="A346" s="113" t="s">
        <v>329</v>
      </c>
      <c r="B346" s="112" t="s">
        <v>2852</v>
      </c>
      <c r="C346" s="116" t="s">
        <v>1227</v>
      </c>
    </row>
    <row r="347" spans="1:3" ht="15">
      <c r="A347" s="113" t="s">
        <v>329</v>
      </c>
      <c r="B347" s="112" t="s">
        <v>2377</v>
      </c>
      <c r="C347" s="116" t="s">
        <v>1227</v>
      </c>
    </row>
    <row r="348" spans="1:3" ht="15">
      <c r="A348" s="113" t="s">
        <v>329</v>
      </c>
      <c r="B348" s="112" t="s">
        <v>3010</v>
      </c>
      <c r="C348" s="116" t="s">
        <v>1227</v>
      </c>
    </row>
    <row r="349" spans="1:3" ht="15">
      <c r="A349" s="113" t="s">
        <v>329</v>
      </c>
      <c r="B349" s="112" t="s">
        <v>2381</v>
      </c>
      <c r="C349" s="116" t="s">
        <v>1227</v>
      </c>
    </row>
    <row r="350" spans="1:3" ht="15">
      <c r="A350" s="113" t="s">
        <v>329</v>
      </c>
      <c r="B350" s="112" t="s">
        <v>2940</v>
      </c>
      <c r="C350" s="116" t="s">
        <v>1227</v>
      </c>
    </row>
    <row r="351" spans="1:3" ht="15">
      <c r="A351" s="113" t="s">
        <v>329</v>
      </c>
      <c r="B351" s="112" t="s">
        <v>2794</v>
      </c>
      <c r="C351" s="116" t="s">
        <v>1227</v>
      </c>
    </row>
    <row r="352" spans="1:3" ht="15">
      <c r="A352" s="113" t="s">
        <v>338</v>
      </c>
      <c r="B352" s="112" t="s">
        <v>3621</v>
      </c>
      <c r="C352" s="116" t="s">
        <v>1214</v>
      </c>
    </row>
    <row r="353" spans="1:3" ht="15">
      <c r="A353" s="113" t="s">
        <v>338</v>
      </c>
      <c r="B353" s="112" t="s">
        <v>2761</v>
      </c>
      <c r="C353" s="116" t="s">
        <v>1214</v>
      </c>
    </row>
    <row r="354" spans="1:3" ht="15">
      <c r="A354" s="113" t="s">
        <v>338</v>
      </c>
      <c r="B354" s="112" t="s">
        <v>2896</v>
      </c>
      <c r="C354" s="116" t="s">
        <v>1214</v>
      </c>
    </row>
    <row r="355" spans="1:3" ht="15">
      <c r="A355" s="113" t="s">
        <v>338</v>
      </c>
      <c r="B355" s="112" t="s">
        <v>3622</v>
      </c>
      <c r="C355" s="116" t="s">
        <v>1214</v>
      </c>
    </row>
    <row r="356" spans="1:3" ht="15">
      <c r="A356" s="113" t="s">
        <v>338</v>
      </c>
      <c r="B356" s="112" t="s">
        <v>2963</v>
      </c>
      <c r="C356" s="116" t="s">
        <v>1214</v>
      </c>
    </row>
    <row r="357" spans="1:3" ht="15">
      <c r="A357" s="113" t="s">
        <v>338</v>
      </c>
      <c r="B357" s="112" t="s">
        <v>3623</v>
      </c>
      <c r="C357" s="116" t="s">
        <v>1214</v>
      </c>
    </row>
    <row r="358" spans="1:3" ht="15">
      <c r="A358" s="113" t="s">
        <v>338</v>
      </c>
      <c r="B358" s="112" t="s">
        <v>3624</v>
      </c>
      <c r="C358" s="116" t="s">
        <v>1214</v>
      </c>
    </row>
    <row r="359" spans="1:3" ht="15">
      <c r="A359" s="113" t="s">
        <v>338</v>
      </c>
      <c r="B359" s="112" t="s">
        <v>2742</v>
      </c>
      <c r="C359" s="116" t="s">
        <v>1214</v>
      </c>
    </row>
    <row r="360" spans="1:3" ht="15">
      <c r="A360" s="113" t="s">
        <v>338</v>
      </c>
      <c r="B360" s="112" t="s">
        <v>3625</v>
      </c>
      <c r="C360" s="116" t="s">
        <v>1214</v>
      </c>
    </row>
    <row r="361" spans="1:3" ht="15">
      <c r="A361" s="113" t="s">
        <v>338</v>
      </c>
      <c r="B361" s="112" t="s">
        <v>2778</v>
      </c>
      <c r="C361" s="116" t="s">
        <v>1214</v>
      </c>
    </row>
    <row r="362" spans="1:3" ht="15">
      <c r="A362" s="113" t="s">
        <v>338</v>
      </c>
      <c r="B362" s="112" t="s">
        <v>3626</v>
      </c>
      <c r="C362" s="116" t="s">
        <v>1214</v>
      </c>
    </row>
    <row r="363" spans="1:3" ht="15">
      <c r="A363" s="113" t="s">
        <v>338</v>
      </c>
      <c r="B363" s="112" t="s">
        <v>2664</v>
      </c>
      <c r="C363" s="116" t="s">
        <v>1214</v>
      </c>
    </row>
    <row r="364" spans="1:3" ht="15">
      <c r="A364" s="113" t="s">
        <v>338</v>
      </c>
      <c r="B364" s="112" t="s">
        <v>2754</v>
      </c>
      <c r="C364" s="116" t="s">
        <v>1214</v>
      </c>
    </row>
    <row r="365" spans="1:3" ht="15">
      <c r="A365" s="113" t="s">
        <v>338</v>
      </c>
      <c r="B365" s="112" t="s">
        <v>3627</v>
      </c>
      <c r="C365" s="116" t="s">
        <v>1214</v>
      </c>
    </row>
    <row r="366" spans="1:3" ht="15">
      <c r="A366" s="113" t="s">
        <v>338</v>
      </c>
      <c r="B366" s="112" t="s">
        <v>2730</v>
      </c>
      <c r="C366" s="116" t="s">
        <v>1214</v>
      </c>
    </row>
    <row r="367" spans="1:3" ht="15">
      <c r="A367" s="113" t="s">
        <v>338</v>
      </c>
      <c r="B367" s="112" t="s">
        <v>3628</v>
      </c>
      <c r="C367" s="116" t="s">
        <v>1214</v>
      </c>
    </row>
    <row r="368" spans="1:3" ht="15">
      <c r="A368" s="113" t="s">
        <v>338</v>
      </c>
      <c r="B368" s="112" t="s">
        <v>2378</v>
      </c>
      <c r="C368" s="116" t="s">
        <v>1214</v>
      </c>
    </row>
    <row r="369" spans="1:3" ht="15">
      <c r="A369" s="113" t="s">
        <v>338</v>
      </c>
      <c r="B369" s="112" t="s">
        <v>2656</v>
      </c>
      <c r="C369" s="116" t="s">
        <v>1214</v>
      </c>
    </row>
    <row r="370" spans="1:3" ht="15">
      <c r="A370" s="113" t="s">
        <v>338</v>
      </c>
      <c r="B370" s="112" t="s">
        <v>3629</v>
      </c>
      <c r="C370" s="116" t="s">
        <v>1214</v>
      </c>
    </row>
    <row r="371" spans="1:3" ht="15">
      <c r="A371" s="113" t="s">
        <v>338</v>
      </c>
      <c r="B371" s="112" t="s">
        <v>2735</v>
      </c>
      <c r="C371" s="116" t="s">
        <v>1214</v>
      </c>
    </row>
    <row r="372" spans="1:3" ht="15">
      <c r="A372" s="113" t="s">
        <v>338</v>
      </c>
      <c r="B372" s="112" t="s">
        <v>2999</v>
      </c>
      <c r="C372" s="116" t="s">
        <v>1214</v>
      </c>
    </row>
    <row r="373" spans="1:3" ht="15">
      <c r="A373" s="113" t="s">
        <v>338</v>
      </c>
      <c r="B373" s="112" t="s">
        <v>3630</v>
      </c>
      <c r="C373" s="116" t="s">
        <v>1214</v>
      </c>
    </row>
    <row r="374" spans="1:3" ht="15">
      <c r="A374" s="113" t="s">
        <v>338</v>
      </c>
      <c r="B374" s="112" t="s">
        <v>2827</v>
      </c>
      <c r="C374" s="116" t="s">
        <v>1214</v>
      </c>
    </row>
    <row r="375" spans="1:3" ht="15">
      <c r="A375" s="113" t="s">
        <v>338</v>
      </c>
      <c r="B375" s="112" t="s">
        <v>3631</v>
      </c>
      <c r="C375" s="116" t="s">
        <v>1214</v>
      </c>
    </row>
    <row r="376" spans="1:3" ht="15">
      <c r="A376" s="113" t="s">
        <v>338</v>
      </c>
      <c r="B376" s="112" t="s">
        <v>2377</v>
      </c>
      <c r="C376" s="116" t="s">
        <v>1214</v>
      </c>
    </row>
    <row r="377" spans="1:3" ht="15">
      <c r="A377" s="113" t="s">
        <v>338</v>
      </c>
      <c r="B377" s="112" t="s">
        <v>3632</v>
      </c>
      <c r="C377" s="116" t="s">
        <v>1214</v>
      </c>
    </row>
    <row r="378" spans="1:3" ht="15">
      <c r="A378" s="113" t="s">
        <v>338</v>
      </c>
      <c r="B378" s="112" t="s">
        <v>2755</v>
      </c>
      <c r="C378" s="116" t="s">
        <v>1214</v>
      </c>
    </row>
    <row r="379" spans="1:3" ht="15">
      <c r="A379" s="113" t="s">
        <v>338</v>
      </c>
      <c r="B379" s="112" t="s">
        <v>3633</v>
      </c>
      <c r="C379" s="116" t="s">
        <v>1214</v>
      </c>
    </row>
    <row r="380" spans="1:3" ht="15">
      <c r="A380" s="113" t="s">
        <v>338</v>
      </c>
      <c r="B380" s="112" t="s">
        <v>2673</v>
      </c>
      <c r="C380" s="116" t="s">
        <v>1214</v>
      </c>
    </row>
    <row r="381" spans="1:3" ht="15">
      <c r="A381" s="113" t="s">
        <v>338</v>
      </c>
      <c r="B381" s="112" t="s">
        <v>2849</v>
      </c>
      <c r="C381" s="116" t="s">
        <v>1214</v>
      </c>
    </row>
    <row r="382" spans="1:3" ht="15">
      <c r="A382" s="113" t="s">
        <v>338</v>
      </c>
      <c r="B382" s="112" t="s">
        <v>3634</v>
      </c>
      <c r="C382" s="116" t="s">
        <v>1214</v>
      </c>
    </row>
    <row r="383" spans="1:3" ht="15">
      <c r="A383" s="113" t="s">
        <v>338</v>
      </c>
      <c r="B383" s="112" t="s">
        <v>3635</v>
      </c>
      <c r="C383" s="116" t="s">
        <v>1214</v>
      </c>
    </row>
    <row r="384" spans="1:3" ht="15">
      <c r="A384" s="113" t="s">
        <v>258</v>
      </c>
      <c r="B384" s="112" t="s">
        <v>690</v>
      </c>
      <c r="C384" s="116" t="s">
        <v>1083</v>
      </c>
    </row>
    <row r="385" spans="1:3" ht="15">
      <c r="A385" s="113" t="s">
        <v>258</v>
      </c>
      <c r="B385" s="112" t="s">
        <v>3636</v>
      </c>
      <c r="C385" s="116" t="s">
        <v>1083</v>
      </c>
    </row>
    <row r="386" spans="1:3" ht="15">
      <c r="A386" s="113" t="s">
        <v>258</v>
      </c>
      <c r="B386" s="112" t="s">
        <v>3637</v>
      </c>
      <c r="C386" s="116" t="s">
        <v>1083</v>
      </c>
    </row>
    <row r="387" spans="1:3" ht="15">
      <c r="A387" s="113" t="s">
        <v>258</v>
      </c>
      <c r="B387" s="112" t="s">
        <v>3638</v>
      </c>
      <c r="C387" s="116" t="s">
        <v>1083</v>
      </c>
    </row>
    <row r="388" spans="1:3" ht="15">
      <c r="A388" s="113" t="s">
        <v>258</v>
      </c>
      <c r="B388" s="112" t="s">
        <v>2889</v>
      </c>
      <c r="C388" s="116" t="s">
        <v>1083</v>
      </c>
    </row>
    <row r="389" spans="1:3" ht="15">
      <c r="A389" s="113" t="s">
        <v>258</v>
      </c>
      <c r="B389" s="112" t="s">
        <v>2374</v>
      </c>
      <c r="C389" s="116" t="s">
        <v>1083</v>
      </c>
    </row>
    <row r="390" spans="1:3" ht="15">
      <c r="A390" s="113" t="s">
        <v>258</v>
      </c>
      <c r="B390" s="112" t="s">
        <v>2373</v>
      </c>
      <c r="C390" s="116" t="s">
        <v>1083</v>
      </c>
    </row>
    <row r="391" spans="1:3" ht="15">
      <c r="A391" s="113" t="s">
        <v>258</v>
      </c>
      <c r="B391" s="112" t="s">
        <v>681</v>
      </c>
      <c r="C391" s="116" t="s">
        <v>1083</v>
      </c>
    </row>
    <row r="392" spans="1:3" ht="15">
      <c r="A392" s="113" t="s">
        <v>258</v>
      </c>
      <c r="B392" s="112" t="s">
        <v>3639</v>
      </c>
      <c r="C392" s="116" t="s">
        <v>1083</v>
      </c>
    </row>
    <row r="393" spans="1:3" ht="15">
      <c r="A393" s="113" t="s">
        <v>258</v>
      </c>
      <c r="B393" s="112" t="s">
        <v>2682</v>
      </c>
      <c r="C393" s="116" t="s">
        <v>1083</v>
      </c>
    </row>
    <row r="394" spans="1:3" ht="15">
      <c r="A394" s="113" t="s">
        <v>258</v>
      </c>
      <c r="B394" s="112" t="s">
        <v>3640</v>
      </c>
      <c r="C394" s="116" t="s">
        <v>1083</v>
      </c>
    </row>
    <row r="395" spans="1:3" ht="15">
      <c r="A395" s="113" t="s">
        <v>258</v>
      </c>
      <c r="B395" s="112" t="s">
        <v>2870</v>
      </c>
      <c r="C395" s="116" t="s">
        <v>1083</v>
      </c>
    </row>
    <row r="396" spans="1:3" ht="15">
      <c r="A396" s="113" t="s">
        <v>258</v>
      </c>
      <c r="B396" s="112" t="s">
        <v>2982</v>
      </c>
      <c r="C396" s="116" t="s">
        <v>1083</v>
      </c>
    </row>
    <row r="397" spans="1:3" ht="15">
      <c r="A397" s="113" t="s">
        <v>258</v>
      </c>
      <c r="B397" s="112" t="s">
        <v>3641</v>
      </c>
      <c r="C397" s="116" t="s">
        <v>1083</v>
      </c>
    </row>
    <row r="398" spans="1:3" ht="15">
      <c r="A398" s="113" t="s">
        <v>258</v>
      </c>
      <c r="B398" s="112" t="s">
        <v>3642</v>
      </c>
      <c r="C398" s="116" t="s">
        <v>1083</v>
      </c>
    </row>
    <row r="399" spans="1:3" ht="15">
      <c r="A399" s="113" t="s">
        <v>258</v>
      </c>
      <c r="B399" s="112" t="s">
        <v>2377</v>
      </c>
      <c r="C399" s="116" t="s">
        <v>1083</v>
      </c>
    </row>
    <row r="400" spans="1:3" ht="15">
      <c r="A400" s="113" t="s">
        <v>258</v>
      </c>
      <c r="B400" s="112" t="s">
        <v>3643</v>
      </c>
      <c r="C400" s="116" t="s">
        <v>1083</v>
      </c>
    </row>
    <row r="401" spans="1:3" ht="15">
      <c r="A401" s="113" t="s">
        <v>258</v>
      </c>
      <c r="B401" s="112" t="s">
        <v>2855</v>
      </c>
      <c r="C401" s="116" t="s">
        <v>1083</v>
      </c>
    </row>
    <row r="402" spans="1:3" ht="15">
      <c r="A402" s="113" t="s">
        <v>258</v>
      </c>
      <c r="B402" s="112" t="s">
        <v>2750</v>
      </c>
      <c r="C402" s="116" t="s">
        <v>1083</v>
      </c>
    </row>
    <row r="403" spans="1:3" ht="15">
      <c r="A403" s="113" t="s">
        <v>258</v>
      </c>
      <c r="B403" s="112" t="s">
        <v>2792</v>
      </c>
      <c r="C403" s="116" t="s">
        <v>1083</v>
      </c>
    </row>
    <row r="404" spans="1:3" ht="15">
      <c r="A404" s="113" t="s">
        <v>258</v>
      </c>
      <c r="B404" s="112" t="s">
        <v>2839</v>
      </c>
      <c r="C404" s="116" t="s">
        <v>1083</v>
      </c>
    </row>
    <row r="405" spans="1:3" ht="15">
      <c r="A405" s="113" t="s">
        <v>258</v>
      </c>
      <c r="B405" s="112" t="s">
        <v>356</v>
      </c>
      <c r="C405" s="116" t="s">
        <v>1083</v>
      </c>
    </row>
    <row r="406" spans="1:3" ht="15">
      <c r="A406" s="113" t="s">
        <v>258</v>
      </c>
      <c r="B406" s="112" t="s">
        <v>3644</v>
      </c>
      <c r="C406" s="116" t="s">
        <v>1083</v>
      </c>
    </row>
    <row r="407" spans="1:3" ht="15">
      <c r="A407" s="113" t="s">
        <v>258</v>
      </c>
      <c r="B407" s="112" t="s">
        <v>3645</v>
      </c>
      <c r="C407" s="116" t="s">
        <v>1083</v>
      </c>
    </row>
    <row r="408" spans="1:3" ht="15">
      <c r="A408" s="113" t="s">
        <v>258</v>
      </c>
      <c r="B408" s="112" t="s">
        <v>3646</v>
      </c>
      <c r="C408" s="116" t="s">
        <v>1083</v>
      </c>
    </row>
    <row r="409" spans="1:3" ht="15">
      <c r="A409" s="113" t="s">
        <v>258</v>
      </c>
      <c r="B409" s="112" t="s">
        <v>3647</v>
      </c>
      <c r="C409" s="116" t="s">
        <v>1083</v>
      </c>
    </row>
    <row r="410" spans="1:3" ht="15">
      <c r="A410" s="113" t="s">
        <v>325</v>
      </c>
      <c r="B410" s="112" t="s">
        <v>2374</v>
      </c>
      <c r="C410" s="116" t="s">
        <v>1186</v>
      </c>
    </row>
    <row r="411" spans="1:3" ht="15">
      <c r="A411" s="113" t="s">
        <v>325</v>
      </c>
      <c r="B411" s="112" t="s">
        <v>2373</v>
      </c>
      <c r="C411" s="116" t="s">
        <v>1186</v>
      </c>
    </row>
    <row r="412" spans="1:3" ht="15">
      <c r="A412" s="113" t="s">
        <v>325</v>
      </c>
      <c r="B412" s="112" t="s">
        <v>2466</v>
      </c>
      <c r="C412" s="116" t="s">
        <v>1186</v>
      </c>
    </row>
    <row r="413" spans="1:3" ht="15">
      <c r="A413" s="113" t="s">
        <v>325</v>
      </c>
      <c r="B413" s="112" t="s">
        <v>681</v>
      </c>
      <c r="C413" s="116" t="s">
        <v>1186</v>
      </c>
    </row>
    <row r="414" spans="1:3" ht="15">
      <c r="A414" s="113" t="s">
        <v>293</v>
      </c>
      <c r="B414" s="112" t="s">
        <v>462</v>
      </c>
      <c r="C414" s="116" t="s">
        <v>1147</v>
      </c>
    </row>
    <row r="415" spans="1:3" ht="15">
      <c r="A415" s="113" t="s">
        <v>293</v>
      </c>
      <c r="B415" s="112" t="s">
        <v>3648</v>
      </c>
      <c r="C415" s="116" t="s">
        <v>1147</v>
      </c>
    </row>
    <row r="416" spans="1:3" ht="15">
      <c r="A416" s="113" t="s">
        <v>293</v>
      </c>
      <c r="B416" s="112" t="s">
        <v>3649</v>
      </c>
      <c r="C416" s="116" t="s">
        <v>1147</v>
      </c>
    </row>
    <row r="417" spans="1:3" ht="15">
      <c r="A417" s="113" t="s">
        <v>293</v>
      </c>
      <c r="B417" s="112" t="s">
        <v>3650</v>
      </c>
      <c r="C417" s="116" t="s">
        <v>1147</v>
      </c>
    </row>
    <row r="418" spans="1:3" ht="15">
      <c r="A418" s="113" t="s">
        <v>293</v>
      </c>
      <c r="B418" s="112" t="s">
        <v>2685</v>
      </c>
      <c r="C418" s="116" t="s">
        <v>1147</v>
      </c>
    </row>
    <row r="419" spans="1:3" ht="15">
      <c r="A419" s="113" t="s">
        <v>293</v>
      </c>
      <c r="B419" s="112" t="s">
        <v>2690</v>
      </c>
      <c r="C419" s="116" t="s">
        <v>1147</v>
      </c>
    </row>
    <row r="420" spans="1:3" ht="15">
      <c r="A420" s="113" t="s">
        <v>293</v>
      </c>
      <c r="B420" s="112" t="s">
        <v>3651</v>
      </c>
      <c r="C420" s="116" t="s">
        <v>1147</v>
      </c>
    </row>
    <row r="421" spans="1:3" ht="15">
      <c r="A421" s="113" t="s">
        <v>293</v>
      </c>
      <c r="B421" s="112" t="s">
        <v>2374</v>
      </c>
      <c r="C421" s="116" t="s">
        <v>1147</v>
      </c>
    </row>
    <row r="422" spans="1:3" ht="15">
      <c r="A422" s="113" t="s">
        <v>293</v>
      </c>
      <c r="B422" s="112" t="s">
        <v>2373</v>
      </c>
      <c r="C422" s="116" t="s">
        <v>1147</v>
      </c>
    </row>
    <row r="423" spans="1:3" ht="15">
      <c r="A423" s="113" t="s">
        <v>293</v>
      </c>
      <c r="B423" s="112" t="s">
        <v>681</v>
      </c>
      <c r="C423" s="116" t="s">
        <v>1147</v>
      </c>
    </row>
    <row r="424" spans="1:3" ht="15">
      <c r="A424" s="113" t="s">
        <v>293</v>
      </c>
      <c r="B424" s="112" t="s">
        <v>2781</v>
      </c>
      <c r="C424" s="116" t="s">
        <v>1147</v>
      </c>
    </row>
    <row r="425" spans="1:3" ht="15">
      <c r="A425" s="113" t="s">
        <v>327</v>
      </c>
      <c r="B425" s="112" t="s">
        <v>462</v>
      </c>
      <c r="C425" s="116" t="s">
        <v>1188</v>
      </c>
    </row>
    <row r="426" spans="1:3" ht="15">
      <c r="A426" s="113" t="s">
        <v>327</v>
      </c>
      <c r="B426" s="112" t="s">
        <v>2363</v>
      </c>
      <c r="C426" s="116" t="s">
        <v>1188</v>
      </c>
    </row>
    <row r="427" spans="1:3" ht="15">
      <c r="A427" s="113" t="s">
        <v>327</v>
      </c>
      <c r="B427" s="112" t="s">
        <v>2637</v>
      </c>
      <c r="C427" s="116" t="s">
        <v>1188</v>
      </c>
    </row>
    <row r="428" spans="1:3" ht="15">
      <c r="A428" s="113" t="s">
        <v>327</v>
      </c>
      <c r="B428" s="112" t="s">
        <v>2643</v>
      </c>
      <c r="C428" s="116" t="s">
        <v>1188</v>
      </c>
    </row>
    <row r="429" spans="1:3" ht="15">
      <c r="A429" s="113" t="s">
        <v>327</v>
      </c>
      <c r="B429" s="112" t="s">
        <v>2381</v>
      </c>
      <c r="C429" s="116" t="s">
        <v>1188</v>
      </c>
    </row>
    <row r="430" spans="1:3" ht="15">
      <c r="A430" s="113" t="s">
        <v>327</v>
      </c>
      <c r="B430" s="112" t="s">
        <v>2374</v>
      </c>
      <c r="C430" s="116" t="s">
        <v>1188</v>
      </c>
    </row>
    <row r="431" spans="1:3" ht="15">
      <c r="A431" s="113" t="s">
        <v>327</v>
      </c>
      <c r="B431" s="112" t="s">
        <v>2373</v>
      </c>
      <c r="C431" s="116" t="s">
        <v>1188</v>
      </c>
    </row>
    <row r="432" spans="1:3" ht="15">
      <c r="A432" s="113" t="s">
        <v>327</v>
      </c>
      <c r="B432" s="112" t="s">
        <v>681</v>
      </c>
      <c r="C432" s="116" t="s">
        <v>1188</v>
      </c>
    </row>
    <row r="433" spans="1:3" ht="15">
      <c r="A433" s="113" t="s">
        <v>268</v>
      </c>
      <c r="B433" s="112" t="s">
        <v>3659</v>
      </c>
      <c r="C433" s="116" t="s">
        <v>1167</v>
      </c>
    </row>
    <row r="434" spans="1:3" ht="15">
      <c r="A434" s="113" t="s">
        <v>268</v>
      </c>
      <c r="B434" s="112" t="s">
        <v>2854</v>
      </c>
      <c r="C434" s="116" t="s">
        <v>1167</v>
      </c>
    </row>
    <row r="435" spans="1:3" ht="15">
      <c r="A435" s="113" t="s">
        <v>268</v>
      </c>
      <c r="B435" s="112" t="s">
        <v>2376</v>
      </c>
      <c r="C435" s="116" t="s">
        <v>1167</v>
      </c>
    </row>
    <row r="436" spans="1:3" ht="15">
      <c r="A436" s="113" t="s">
        <v>268</v>
      </c>
      <c r="B436" s="112" t="s">
        <v>2686</v>
      </c>
      <c r="C436" s="116" t="s">
        <v>1167</v>
      </c>
    </row>
    <row r="437" spans="1:3" ht="15">
      <c r="A437" s="113" t="s">
        <v>268</v>
      </c>
      <c r="B437" s="112" t="s">
        <v>3660</v>
      </c>
      <c r="C437" s="116" t="s">
        <v>1167</v>
      </c>
    </row>
    <row r="438" spans="1:3" ht="15">
      <c r="A438" s="113" t="s">
        <v>268</v>
      </c>
      <c r="B438" s="112" t="s">
        <v>3661</v>
      </c>
      <c r="C438" s="116" t="s">
        <v>1167</v>
      </c>
    </row>
    <row r="439" spans="1:3" ht="15">
      <c r="A439" s="113" t="s">
        <v>268</v>
      </c>
      <c r="B439" s="112" t="s">
        <v>2745</v>
      </c>
      <c r="C439" s="116" t="s">
        <v>1167</v>
      </c>
    </row>
    <row r="440" spans="1:3" ht="15">
      <c r="A440" s="113" t="s">
        <v>268</v>
      </c>
      <c r="B440" s="112" t="s">
        <v>3662</v>
      </c>
      <c r="C440" s="116" t="s">
        <v>1167</v>
      </c>
    </row>
    <row r="441" spans="1:3" ht="15">
      <c r="A441" s="113" t="s">
        <v>268</v>
      </c>
      <c r="B441" s="112" t="s">
        <v>2681</v>
      </c>
      <c r="C441" s="116" t="s">
        <v>1167</v>
      </c>
    </row>
    <row r="442" spans="1:3" ht="15">
      <c r="A442" s="113" t="s">
        <v>268</v>
      </c>
      <c r="B442" s="112" t="s">
        <v>2374</v>
      </c>
      <c r="C442" s="116" t="s">
        <v>1167</v>
      </c>
    </row>
    <row r="443" spans="1:3" ht="15">
      <c r="A443" s="113" t="s">
        <v>268</v>
      </c>
      <c r="B443" s="112">
        <v>0</v>
      </c>
      <c r="C443" s="116" t="s">
        <v>1167</v>
      </c>
    </row>
    <row r="444" spans="1:3" ht="15">
      <c r="A444" s="113" t="s">
        <v>268</v>
      </c>
      <c r="B444" s="112" t="s">
        <v>2637</v>
      </c>
      <c r="C444" s="116" t="s">
        <v>1167</v>
      </c>
    </row>
    <row r="445" spans="1:3" ht="15">
      <c r="A445" s="113" t="s">
        <v>268</v>
      </c>
      <c r="B445" s="112" t="s">
        <v>2691</v>
      </c>
      <c r="C445" s="116" t="s">
        <v>1167</v>
      </c>
    </row>
    <row r="446" spans="1:3" ht="15">
      <c r="A446" s="113" t="s">
        <v>268</v>
      </c>
      <c r="B446" s="112" t="s">
        <v>3663</v>
      </c>
      <c r="C446" s="116" t="s">
        <v>1167</v>
      </c>
    </row>
    <row r="447" spans="1:3" ht="15">
      <c r="A447" s="113" t="s">
        <v>268</v>
      </c>
      <c r="B447" s="112" t="s">
        <v>2994</v>
      </c>
      <c r="C447" s="116" t="s">
        <v>1167</v>
      </c>
    </row>
    <row r="448" spans="1:3" ht="15">
      <c r="A448" s="113" t="s">
        <v>268</v>
      </c>
      <c r="B448" s="112" t="s">
        <v>2855</v>
      </c>
      <c r="C448" s="116" t="s">
        <v>1167</v>
      </c>
    </row>
    <row r="449" spans="1:3" ht="15">
      <c r="A449" s="113" t="s">
        <v>268</v>
      </c>
      <c r="B449" s="112" t="s">
        <v>2373</v>
      </c>
      <c r="C449" s="116" t="s">
        <v>1167</v>
      </c>
    </row>
    <row r="450" spans="1:3" ht="15">
      <c r="A450" s="113" t="s">
        <v>268</v>
      </c>
      <c r="B450" s="112" t="s">
        <v>3664</v>
      </c>
      <c r="C450" s="116" t="s">
        <v>1167</v>
      </c>
    </row>
    <row r="451" spans="1:3" ht="15">
      <c r="A451" s="113" t="s">
        <v>268</v>
      </c>
      <c r="B451" s="112" t="s">
        <v>3013</v>
      </c>
      <c r="C451" s="116" t="s">
        <v>1167</v>
      </c>
    </row>
    <row r="452" spans="1:3" ht="15">
      <c r="A452" s="113" t="s">
        <v>268</v>
      </c>
      <c r="B452" s="112">
        <v>1</v>
      </c>
      <c r="C452" s="116" t="s">
        <v>1167</v>
      </c>
    </row>
    <row r="453" spans="1:3" ht="15">
      <c r="A453" s="113" t="s">
        <v>268</v>
      </c>
      <c r="B453" s="112" t="s">
        <v>3665</v>
      </c>
      <c r="C453" s="116" t="s">
        <v>1167</v>
      </c>
    </row>
    <row r="454" spans="1:3" ht="15">
      <c r="A454" s="113" t="s">
        <v>268</v>
      </c>
      <c r="B454" s="112" t="s">
        <v>2733</v>
      </c>
      <c r="C454" s="116" t="s">
        <v>1167</v>
      </c>
    </row>
    <row r="455" spans="1:3" ht="15">
      <c r="A455" s="113" t="s">
        <v>268</v>
      </c>
      <c r="B455" s="112" t="s">
        <v>2709</v>
      </c>
      <c r="C455" s="116" t="s">
        <v>1167</v>
      </c>
    </row>
    <row r="456" spans="1:3" ht="15">
      <c r="A456" s="113" t="s">
        <v>268</v>
      </c>
      <c r="B456" s="112">
        <v>300</v>
      </c>
      <c r="C456" s="116" t="s">
        <v>1167</v>
      </c>
    </row>
    <row r="457" spans="1:3" ht="15">
      <c r="A457" s="113" t="s">
        <v>268</v>
      </c>
      <c r="B457" s="112">
        <v>100</v>
      </c>
      <c r="C457" s="116" t="s">
        <v>1167</v>
      </c>
    </row>
    <row r="458" spans="1:3" ht="15">
      <c r="A458" s="113" t="s">
        <v>268</v>
      </c>
      <c r="B458" s="112" t="s">
        <v>3666</v>
      </c>
      <c r="C458" s="116" t="s">
        <v>1167</v>
      </c>
    </row>
    <row r="459" spans="1:3" ht="15">
      <c r="A459" s="113" t="s">
        <v>268</v>
      </c>
      <c r="B459" s="112" t="s">
        <v>2641</v>
      </c>
      <c r="C459" s="116" t="s">
        <v>1167</v>
      </c>
    </row>
    <row r="460" spans="1:3" ht="15">
      <c r="A460" s="113" t="s">
        <v>268</v>
      </c>
      <c r="B460" s="112" t="s">
        <v>3667</v>
      </c>
      <c r="C460" s="116" t="s">
        <v>1167</v>
      </c>
    </row>
    <row r="461" spans="1:3" ht="15">
      <c r="A461" s="113" t="s">
        <v>268</v>
      </c>
      <c r="B461" s="112">
        <v>60</v>
      </c>
      <c r="C461" s="116" t="s">
        <v>1167</v>
      </c>
    </row>
    <row r="462" spans="1:3" ht="15">
      <c r="A462" s="113" t="s">
        <v>268</v>
      </c>
      <c r="B462" s="112">
        <v>30</v>
      </c>
      <c r="C462" s="116" t="s">
        <v>1167</v>
      </c>
    </row>
    <row r="463" spans="1:3" ht="15">
      <c r="A463" s="113" t="s">
        <v>268</v>
      </c>
      <c r="B463" s="112" t="s">
        <v>2638</v>
      </c>
      <c r="C463" s="116" t="s">
        <v>1167</v>
      </c>
    </row>
    <row r="464" spans="1:3" ht="15">
      <c r="A464" s="113" t="s">
        <v>268</v>
      </c>
      <c r="B464" s="112" t="s">
        <v>3668</v>
      </c>
      <c r="C464" s="116" t="s">
        <v>1167</v>
      </c>
    </row>
    <row r="465" spans="1:3" ht="15">
      <c r="A465" s="113" t="s">
        <v>268</v>
      </c>
      <c r="B465" s="112" t="s">
        <v>2736</v>
      </c>
      <c r="C465" s="116" t="s">
        <v>1167</v>
      </c>
    </row>
    <row r="466" spans="1:3" ht="15">
      <c r="A466" s="113" t="s">
        <v>268</v>
      </c>
      <c r="B466" s="112" t="s">
        <v>2770</v>
      </c>
      <c r="C466" s="116" t="s">
        <v>1167</v>
      </c>
    </row>
    <row r="467" spans="1:3" ht="15">
      <c r="A467" s="113" t="s">
        <v>268</v>
      </c>
      <c r="B467" s="112" t="s">
        <v>3669</v>
      </c>
      <c r="C467" s="116" t="s">
        <v>1167</v>
      </c>
    </row>
    <row r="468" spans="1:3" ht="15">
      <c r="A468" s="113" t="s">
        <v>268</v>
      </c>
      <c r="B468" s="112" t="s">
        <v>2753</v>
      </c>
      <c r="C468" s="116" t="s">
        <v>1167</v>
      </c>
    </row>
    <row r="469" spans="1:3" ht="15">
      <c r="A469" s="113" t="s">
        <v>268</v>
      </c>
      <c r="B469" s="112" t="s">
        <v>2991</v>
      </c>
      <c r="C469" s="116" t="s">
        <v>1167</v>
      </c>
    </row>
    <row r="470" spans="1:3" ht="15">
      <c r="A470" s="113" t="s">
        <v>268</v>
      </c>
      <c r="B470" s="112" t="s">
        <v>3670</v>
      </c>
      <c r="C470" s="116" t="s">
        <v>1167</v>
      </c>
    </row>
    <row r="471" spans="1:3" ht="15">
      <c r="A471" s="113" t="s">
        <v>268</v>
      </c>
      <c r="B471" s="112" t="s">
        <v>2722</v>
      </c>
      <c r="C471" s="116" t="s">
        <v>1167</v>
      </c>
    </row>
    <row r="472" spans="1:3" ht="15">
      <c r="A472" s="113" t="s">
        <v>329</v>
      </c>
      <c r="B472" s="112" t="s">
        <v>682</v>
      </c>
      <c r="C472" s="116" t="s">
        <v>1220</v>
      </c>
    </row>
    <row r="473" spans="1:3" ht="15">
      <c r="A473" s="113" t="s">
        <v>329</v>
      </c>
      <c r="B473" s="112" t="s">
        <v>3652</v>
      </c>
      <c r="C473" s="116" t="s">
        <v>1220</v>
      </c>
    </row>
    <row r="474" spans="1:3" ht="15">
      <c r="A474" s="113" t="s">
        <v>329</v>
      </c>
      <c r="B474" s="112" t="s">
        <v>2647</v>
      </c>
      <c r="C474" s="116" t="s">
        <v>1220</v>
      </c>
    </row>
    <row r="475" spans="1:3" ht="15">
      <c r="A475" s="113" t="s">
        <v>329</v>
      </c>
      <c r="B475" s="112" t="s">
        <v>3653</v>
      </c>
      <c r="C475" s="116" t="s">
        <v>1220</v>
      </c>
    </row>
    <row r="476" spans="1:3" ht="15">
      <c r="A476" s="113" t="s">
        <v>329</v>
      </c>
      <c r="B476" s="112" t="s">
        <v>3654</v>
      </c>
      <c r="C476" s="116" t="s">
        <v>1220</v>
      </c>
    </row>
    <row r="477" spans="1:3" ht="15">
      <c r="A477" s="113" t="s">
        <v>329</v>
      </c>
      <c r="B477" s="112" t="s">
        <v>2377</v>
      </c>
      <c r="C477" s="116" t="s">
        <v>1220</v>
      </c>
    </row>
    <row r="478" spans="1:3" ht="15">
      <c r="A478" s="113" t="s">
        <v>329</v>
      </c>
      <c r="B478" s="112" t="s">
        <v>2636</v>
      </c>
      <c r="C478" s="116" t="s">
        <v>1220</v>
      </c>
    </row>
    <row r="479" spans="1:3" ht="15">
      <c r="A479" s="113" t="s">
        <v>329</v>
      </c>
      <c r="B479" s="112" t="s">
        <v>3655</v>
      </c>
      <c r="C479" s="116" t="s">
        <v>1220</v>
      </c>
    </row>
    <row r="480" spans="1:3" ht="15">
      <c r="A480" s="113" t="s">
        <v>329</v>
      </c>
      <c r="B480" s="112" t="s">
        <v>2784</v>
      </c>
      <c r="C480" s="116" t="s">
        <v>1220</v>
      </c>
    </row>
    <row r="481" spans="1:3" ht="15">
      <c r="A481" s="113" t="s">
        <v>329</v>
      </c>
      <c r="B481" s="112" t="s">
        <v>3656</v>
      </c>
      <c r="C481" s="116" t="s">
        <v>1220</v>
      </c>
    </row>
    <row r="482" spans="1:3" ht="15">
      <c r="A482" s="113" t="s">
        <v>329</v>
      </c>
      <c r="B482" s="112" t="s">
        <v>2969</v>
      </c>
      <c r="C482" s="116" t="s">
        <v>1220</v>
      </c>
    </row>
    <row r="483" spans="1:3" ht="15">
      <c r="A483" s="113" t="s">
        <v>329</v>
      </c>
      <c r="B483" s="112" t="s">
        <v>3657</v>
      </c>
      <c r="C483" s="116" t="s">
        <v>1220</v>
      </c>
    </row>
    <row r="484" spans="1:3" ht="15">
      <c r="A484" s="113" t="s">
        <v>329</v>
      </c>
      <c r="B484" s="112" t="s">
        <v>3658</v>
      </c>
      <c r="C484" s="116" t="s">
        <v>1220</v>
      </c>
    </row>
    <row r="485" spans="1:3" ht="15">
      <c r="A485" s="113" t="s">
        <v>313</v>
      </c>
      <c r="B485" s="112" t="s">
        <v>2374</v>
      </c>
      <c r="C485" s="116" t="s">
        <v>1170</v>
      </c>
    </row>
    <row r="486" spans="1:3" ht="15">
      <c r="A486" s="113" t="s">
        <v>313</v>
      </c>
      <c r="B486" s="112" t="s">
        <v>2373</v>
      </c>
      <c r="C486" s="116" t="s">
        <v>1170</v>
      </c>
    </row>
    <row r="487" spans="1:3" ht="15">
      <c r="A487" s="113" t="s">
        <v>313</v>
      </c>
      <c r="B487" s="112" t="s">
        <v>681</v>
      </c>
      <c r="C487" s="116" t="s">
        <v>1170</v>
      </c>
    </row>
    <row r="488" spans="1:3" ht="15">
      <c r="A488" s="113" t="s">
        <v>313</v>
      </c>
      <c r="B488" s="112">
        <v>2024</v>
      </c>
      <c r="C488" s="116" t="s">
        <v>1170</v>
      </c>
    </row>
    <row r="489" spans="1:3" ht="15">
      <c r="A489" s="113" t="s">
        <v>313</v>
      </c>
      <c r="B489" s="112" t="s">
        <v>2911</v>
      </c>
      <c r="C489" s="116" t="s">
        <v>1170</v>
      </c>
    </row>
    <row r="490" spans="1:3" ht="15">
      <c r="A490" s="113" t="s">
        <v>313</v>
      </c>
      <c r="B490" s="112" t="s">
        <v>2969</v>
      </c>
      <c r="C490" s="116" t="s">
        <v>1170</v>
      </c>
    </row>
    <row r="491" spans="1:3" ht="15">
      <c r="A491" s="113" t="s">
        <v>313</v>
      </c>
      <c r="B491" s="112" t="s">
        <v>3671</v>
      </c>
      <c r="C491" s="116" t="s">
        <v>1170</v>
      </c>
    </row>
    <row r="492" spans="1:3" ht="15">
      <c r="A492" s="113" t="s">
        <v>313</v>
      </c>
      <c r="B492" s="112" t="s">
        <v>3672</v>
      </c>
      <c r="C492" s="116" t="s">
        <v>1170</v>
      </c>
    </row>
    <row r="493" spans="1:3" ht="15">
      <c r="A493" s="113" t="s">
        <v>313</v>
      </c>
      <c r="B493" s="112" t="s">
        <v>2759</v>
      </c>
      <c r="C493" s="116" t="s">
        <v>1170</v>
      </c>
    </row>
    <row r="494" spans="1:3" ht="15">
      <c r="A494" s="113" t="s">
        <v>313</v>
      </c>
      <c r="B494" s="112" t="s">
        <v>3673</v>
      </c>
      <c r="C494" s="116" t="s">
        <v>1170</v>
      </c>
    </row>
    <row r="495" spans="1:3" ht="15">
      <c r="A495" s="113" t="s">
        <v>313</v>
      </c>
      <c r="B495" s="112" t="s">
        <v>2776</v>
      </c>
      <c r="C495" s="116" t="s">
        <v>1170</v>
      </c>
    </row>
    <row r="496" spans="1:3" ht="15">
      <c r="A496" s="113" t="s">
        <v>313</v>
      </c>
      <c r="B496" s="112" t="s">
        <v>3674</v>
      </c>
      <c r="C496" s="116" t="s">
        <v>1170</v>
      </c>
    </row>
    <row r="497" spans="1:3" ht="15">
      <c r="A497" s="113" t="s">
        <v>320</v>
      </c>
      <c r="B497" s="112" t="s">
        <v>3675</v>
      </c>
      <c r="C497" s="116" t="s">
        <v>1181</v>
      </c>
    </row>
    <row r="498" spans="1:3" ht="15">
      <c r="A498" s="113" t="s">
        <v>320</v>
      </c>
      <c r="B498" s="112" t="s">
        <v>2982</v>
      </c>
      <c r="C498" s="116" t="s">
        <v>1181</v>
      </c>
    </row>
    <row r="499" spans="1:3" ht="15">
      <c r="A499" s="113" t="s">
        <v>320</v>
      </c>
      <c r="B499" s="112" t="s">
        <v>3676</v>
      </c>
      <c r="C499" s="116" t="s">
        <v>1181</v>
      </c>
    </row>
    <row r="500" spans="1:3" ht="15">
      <c r="A500" s="113" t="s">
        <v>320</v>
      </c>
      <c r="B500" s="112" t="s">
        <v>2673</v>
      </c>
      <c r="C500" s="116" t="s">
        <v>1181</v>
      </c>
    </row>
    <row r="501" spans="1:3" ht="15">
      <c r="A501" s="113" t="s">
        <v>320</v>
      </c>
      <c r="B501" s="112" t="s">
        <v>3677</v>
      </c>
      <c r="C501" s="116" t="s">
        <v>1181</v>
      </c>
    </row>
    <row r="502" spans="1:3" ht="15">
      <c r="A502" s="113" t="s">
        <v>320</v>
      </c>
      <c r="B502" s="112" t="s">
        <v>3678</v>
      </c>
      <c r="C502" s="116" t="s">
        <v>1181</v>
      </c>
    </row>
    <row r="503" spans="1:3" ht="15">
      <c r="A503" s="113" t="s">
        <v>320</v>
      </c>
      <c r="B503" s="112" t="s">
        <v>3679</v>
      </c>
      <c r="C503" s="116" t="s">
        <v>1181</v>
      </c>
    </row>
    <row r="504" spans="1:3" ht="15">
      <c r="A504" s="113" t="s">
        <v>320</v>
      </c>
      <c r="B504" s="112" t="s">
        <v>3680</v>
      </c>
      <c r="C504" s="116" t="s">
        <v>1181</v>
      </c>
    </row>
    <row r="505" spans="1:3" ht="15">
      <c r="A505" s="113" t="s">
        <v>320</v>
      </c>
      <c r="B505" s="112" t="s">
        <v>3681</v>
      </c>
      <c r="C505" s="116" t="s">
        <v>1181</v>
      </c>
    </row>
    <row r="506" spans="1:3" ht="15">
      <c r="A506" s="113" t="s">
        <v>320</v>
      </c>
      <c r="B506" s="112" t="s">
        <v>3682</v>
      </c>
      <c r="C506" s="116" t="s">
        <v>1181</v>
      </c>
    </row>
    <row r="507" spans="1:3" ht="15">
      <c r="A507" s="113" t="s">
        <v>320</v>
      </c>
      <c r="B507" s="112" t="s">
        <v>2760</v>
      </c>
      <c r="C507" s="116" t="s">
        <v>1181</v>
      </c>
    </row>
    <row r="508" spans="1:3" ht="15">
      <c r="A508" s="113" t="s">
        <v>320</v>
      </c>
      <c r="B508" s="112" t="s">
        <v>2960</v>
      </c>
      <c r="C508" s="116" t="s">
        <v>1181</v>
      </c>
    </row>
    <row r="509" spans="1:3" ht="15">
      <c r="A509" s="113" t="s">
        <v>320</v>
      </c>
      <c r="B509" s="112" t="s">
        <v>2901</v>
      </c>
      <c r="C509" s="116" t="s">
        <v>1181</v>
      </c>
    </row>
    <row r="510" spans="1:3" ht="15">
      <c r="A510" s="113" t="s">
        <v>320</v>
      </c>
      <c r="B510" s="112" t="s">
        <v>2661</v>
      </c>
      <c r="C510" s="116" t="s">
        <v>1181</v>
      </c>
    </row>
    <row r="511" spans="1:3" ht="15">
      <c r="A511" s="113" t="s">
        <v>320</v>
      </c>
      <c r="B511" s="112" t="s">
        <v>2377</v>
      </c>
      <c r="C511" s="116" t="s">
        <v>1181</v>
      </c>
    </row>
    <row r="512" spans="1:3" ht="15">
      <c r="A512" s="113" t="s">
        <v>320</v>
      </c>
      <c r="B512" s="112" t="s">
        <v>2853</v>
      </c>
      <c r="C512" s="116" t="s">
        <v>1181</v>
      </c>
    </row>
    <row r="513" spans="1:3" ht="15">
      <c r="A513" s="113" t="s">
        <v>320</v>
      </c>
      <c r="B513" s="112" t="s">
        <v>3683</v>
      </c>
      <c r="C513" s="116" t="s">
        <v>1181</v>
      </c>
    </row>
    <row r="514" spans="1:3" ht="15">
      <c r="A514" s="113" t="s">
        <v>320</v>
      </c>
      <c r="B514" s="112" t="s">
        <v>2926</v>
      </c>
      <c r="C514" s="116" t="s">
        <v>1181</v>
      </c>
    </row>
    <row r="515" spans="1:3" ht="15">
      <c r="A515" s="113" t="s">
        <v>320</v>
      </c>
      <c r="B515" s="112">
        <v>6</v>
      </c>
      <c r="C515" s="116" t="s">
        <v>1181</v>
      </c>
    </row>
    <row r="516" spans="1:3" ht="15">
      <c r="A516" s="113" t="s">
        <v>320</v>
      </c>
      <c r="B516" s="112" t="s">
        <v>3684</v>
      </c>
      <c r="C516" s="116" t="s">
        <v>1181</v>
      </c>
    </row>
    <row r="517" spans="1:3" ht="15">
      <c r="A517" s="113" t="s">
        <v>320</v>
      </c>
      <c r="B517" s="112" t="s">
        <v>3685</v>
      </c>
      <c r="C517" s="116" t="s">
        <v>1181</v>
      </c>
    </row>
    <row r="518" spans="1:3" ht="15">
      <c r="A518" s="113" t="s">
        <v>320</v>
      </c>
      <c r="B518" s="112" t="s">
        <v>3686</v>
      </c>
      <c r="C518" s="116" t="s">
        <v>1181</v>
      </c>
    </row>
    <row r="519" spans="1:3" ht="15">
      <c r="A519" s="113" t="s">
        <v>320</v>
      </c>
      <c r="B519" s="112" t="s">
        <v>3687</v>
      </c>
      <c r="C519" s="116" t="s">
        <v>1181</v>
      </c>
    </row>
    <row r="520" spans="1:3" ht="15">
      <c r="A520" s="113" t="s">
        <v>320</v>
      </c>
      <c r="B520" s="112" t="s">
        <v>2903</v>
      </c>
      <c r="C520" s="116" t="s">
        <v>1181</v>
      </c>
    </row>
    <row r="521" spans="1:3" ht="15">
      <c r="A521" s="113" t="s">
        <v>320</v>
      </c>
      <c r="B521" s="112" t="s">
        <v>2974</v>
      </c>
      <c r="C521" s="116" t="s">
        <v>1181</v>
      </c>
    </row>
    <row r="522" spans="1:3" ht="15">
      <c r="A522" s="113" t="s">
        <v>320</v>
      </c>
      <c r="B522" s="112" t="s">
        <v>2666</v>
      </c>
      <c r="C522" s="116" t="s">
        <v>1181</v>
      </c>
    </row>
    <row r="523" spans="1:3" ht="15">
      <c r="A523" s="113" t="s">
        <v>320</v>
      </c>
      <c r="B523" s="112" t="s">
        <v>3688</v>
      </c>
      <c r="C523" s="116" t="s">
        <v>1181</v>
      </c>
    </row>
    <row r="524" spans="1:3" ht="15">
      <c r="A524" s="113" t="s">
        <v>320</v>
      </c>
      <c r="B524" s="112" t="s">
        <v>3689</v>
      </c>
      <c r="C524" s="116" t="s">
        <v>1181</v>
      </c>
    </row>
    <row r="525" spans="1:3" ht="15">
      <c r="A525" s="113" t="s">
        <v>320</v>
      </c>
      <c r="B525" s="112" t="s">
        <v>2709</v>
      </c>
      <c r="C525" s="116" t="s">
        <v>1181</v>
      </c>
    </row>
    <row r="526" spans="1:3" ht="15">
      <c r="A526" s="113" t="s">
        <v>320</v>
      </c>
      <c r="B526" s="112" t="s">
        <v>2838</v>
      </c>
      <c r="C526" s="116" t="s">
        <v>1181</v>
      </c>
    </row>
    <row r="527" spans="1:3" ht="15">
      <c r="A527" s="113" t="s">
        <v>320</v>
      </c>
      <c r="B527" s="112" t="s">
        <v>3690</v>
      </c>
      <c r="C527" s="116" t="s">
        <v>1181</v>
      </c>
    </row>
    <row r="528" spans="1:3" ht="15">
      <c r="A528" s="113" t="s">
        <v>320</v>
      </c>
      <c r="B528" s="112" t="s">
        <v>2840</v>
      </c>
      <c r="C528" s="116" t="s">
        <v>1181</v>
      </c>
    </row>
    <row r="529" spans="1:3" ht="15">
      <c r="A529" s="113" t="s">
        <v>320</v>
      </c>
      <c r="B529" s="112" t="s">
        <v>2379</v>
      </c>
      <c r="C529" s="116" t="s">
        <v>1181</v>
      </c>
    </row>
    <row r="530" spans="1:3" ht="15">
      <c r="A530" s="113" t="s">
        <v>320</v>
      </c>
      <c r="B530" s="112" t="s">
        <v>2875</v>
      </c>
      <c r="C530" s="116" t="s">
        <v>1181</v>
      </c>
    </row>
    <row r="531" spans="1:3" ht="15">
      <c r="A531" s="113" t="s">
        <v>320</v>
      </c>
      <c r="B531" s="112" t="s">
        <v>2665</v>
      </c>
      <c r="C531" s="116" t="s">
        <v>1181</v>
      </c>
    </row>
    <row r="532" spans="1:3" ht="15">
      <c r="A532" s="113" t="s">
        <v>320</v>
      </c>
      <c r="B532" s="112" t="s">
        <v>3691</v>
      </c>
      <c r="C532" s="116" t="s">
        <v>1181</v>
      </c>
    </row>
    <row r="533" spans="1:3" ht="15">
      <c r="A533" s="113" t="s">
        <v>320</v>
      </c>
      <c r="B533" s="112" t="s">
        <v>3692</v>
      </c>
      <c r="C533" s="116" t="s">
        <v>1181</v>
      </c>
    </row>
    <row r="534" spans="1:3" ht="15">
      <c r="A534" s="113" t="s">
        <v>255</v>
      </c>
      <c r="B534" s="112" t="s">
        <v>682</v>
      </c>
      <c r="C534" s="116" t="s">
        <v>1078</v>
      </c>
    </row>
    <row r="535" spans="1:3" ht="15">
      <c r="A535" s="113" t="s">
        <v>255</v>
      </c>
      <c r="B535" s="112" t="s">
        <v>318</v>
      </c>
      <c r="C535" s="116" t="s">
        <v>1078</v>
      </c>
    </row>
    <row r="536" spans="1:3" ht="15">
      <c r="A536" s="113" t="s">
        <v>284</v>
      </c>
      <c r="B536" s="112" t="s">
        <v>2374</v>
      </c>
      <c r="C536" s="116" t="s">
        <v>1128</v>
      </c>
    </row>
    <row r="537" spans="1:3" ht="15">
      <c r="A537" s="113" t="s">
        <v>284</v>
      </c>
      <c r="B537" s="112" t="s">
        <v>2373</v>
      </c>
      <c r="C537" s="116" t="s">
        <v>1128</v>
      </c>
    </row>
    <row r="538" spans="1:3" ht="15">
      <c r="A538" s="113" t="s">
        <v>284</v>
      </c>
      <c r="B538" s="112" t="s">
        <v>681</v>
      </c>
      <c r="C538" s="116" t="s">
        <v>1128</v>
      </c>
    </row>
    <row r="539" spans="1:3" ht="15">
      <c r="A539" s="113" t="s">
        <v>284</v>
      </c>
      <c r="B539" s="112" t="s">
        <v>2659</v>
      </c>
      <c r="C539" s="116" t="s">
        <v>1128</v>
      </c>
    </row>
    <row r="540" spans="1:3" ht="15">
      <c r="A540" s="113" t="s">
        <v>284</v>
      </c>
      <c r="B540" s="112" t="s">
        <v>2640</v>
      </c>
      <c r="C540" s="116" t="s">
        <v>1128</v>
      </c>
    </row>
    <row r="541" spans="1:3" ht="15">
      <c r="A541" s="113" t="s">
        <v>284</v>
      </c>
      <c r="B541" s="112" t="s">
        <v>3693</v>
      </c>
      <c r="C541" s="116" t="s">
        <v>1128</v>
      </c>
    </row>
    <row r="542" spans="1:3" ht="15">
      <c r="A542" s="113" t="s">
        <v>284</v>
      </c>
      <c r="B542" s="112" t="s">
        <v>2968</v>
      </c>
      <c r="C542" s="116" t="s">
        <v>1128</v>
      </c>
    </row>
    <row r="543" spans="1:3" ht="15">
      <c r="A543" s="113" t="s">
        <v>284</v>
      </c>
      <c r="B543" s="112" t="s">
        <v>3694</v>
      </c>
      <c r="C543" s="116" t="s">
        <v>1128</v>
      </c>
    </row>
    <row r="544" spans="1:3" ht="15">
      <c r="A544" s="113" t="s">
        <v>284</v>
      </c>
      <c r="B544" s="112" t="s">
        <v>2644</v>
      </c>
      <c r="C544" s="116" t="s">
        <v>1128</v>
      </c>
    </row>
    <row r="545" spans="1:3" ht="15">
      <c r="A545" s="113" t="s">
        <v>284</v>
      </c>
      <c r="B545" s="112" t="s">
        <v>2651</v>
      </c>
      <c r="C545" s="116" t="s">
        <v>1128</v>
      </c>
    </row>
    <row r="546" spans="1:3" ht="15">
      <c r="A546" s="113" t="s">
        <v>284</v>
      </c>
      <c r="B546" s="112" t="s">
        <v>2692</v>
      </c>
      <c r="C546" s="116" t="s">
        <v>1128</v>
      </c>
    </row>
    <row r="547" spans="1:3" ht="15">
      <c r="A547" s="113" t="s">
        <v>284</v>
      </c>
      <c r="B547" s="112" t="s">
        <v>3695</v>
      </c>
      <c r="C547" s="116" t="s">
        <v>1128</v>
      </c>
    </row>
    <row r="548" spans="1:3" ht="15">
      <c r="A548" s="113" t="s">
        <v>284</v>
      </c>
      <c r="B548" s="112" t="s">
        <v>3696</v>
      </c>
      <c r="C548" s="116" t="s">
        <v>1128</v>
      </c>
    </row>
    <row r="549" spans="1:3" ht="15">
      <c r="A549" s="113" t="s">
        <v>284</v>
      </c>
      <c r="B549" s="112" t="s">
        <v>2664</v>
      </c>
      <c r="C549" s="116" t="s">
        <v>1128</v>
      </c>
    </row>
    <row r="550" spans="1:3" ht="15">
      <c r="A550" s="113" t="s">
        <v>284</v>
      </c>
      <c r="B550" s="112" t="s">
        <v>2669</v>
      </c>
      <c r="C550" s="116" t="s">
        <v>1128</v>
      </c>
    </row>
    <row r="551" spans="1:3" ht="15">
      <c r="A551" s="113" t="s">
        <v>284</v>
      </c>
      <c r="B551" s="112" t="s">
        <v>2380</v>
      </c>
      <c r="C551" s="116" t="s">
        <v>1128</v>
      </c>
    </row>
    <row r="552" spans="1:3" ht="15">
      <c r="A552" s="113" t="s">
        <v>284</v>
      </c>
      <c r="B552" s="112" t="s">
        <v>3697</v>
      </c>
      <c r="C552" s="116" t="s">
        <v>1128</v>
      </c>
    </row>
    <row r="553" spans="1:3" ht="15">
      <c r="A553" s="113" t="s">
        <v>284</v>
      </c>
      <c r="B553" s="112" t="s">
        <v>3016</v>
      </c>
      <c r="C553" s="116" t="s">
        <v>1128</v>
      </c>
    </row>
    <row r="554" spans="1:3" ht="15">
      <c r="A554" s="113" t="s">
        <v>284</v>
      </c>
      <c r="B554" s="112" t="s">
        <v>2902</v>
      </c>
      <c r="C554" s="116" t="s">
        <v>1128</v>
      </c>
    </row>
    <row r="555" spans="1:3" ht="15">
      <c r="A555" s="113" t="s">
        <v>284</v>
      </c>
      <c r="B555" s="112" t="s">
        <v>414</v>
      </c>
      <c r="C555" s="116" t="s">
        <v>1128</v>
      </c>
    </row>
    <row r="556" spans="1:3" ht="15">
      <c r="A556" s="113" t="s">
        <v>284</v>
      </c>
      <c r="B556" s="112" t="s">
        <v>2954</v>
      </c>
      <c r="C556" s="116" t="s">
        <v>1128</v>
      </c>
    </row>
    <row r="557" spans="1:3" ht="15">
      <c r="A557" s="113" t="s">
        <v>284</v>
      </c>
      <c r="B557" s="112" t="s">
        <v>2670</v>
      </c>
      <c r="C557" s="116" t="s">
        <v>1128</v>
      </c>
    </row>
    <row r="558" spans="1:3" ht="15">
      <c r="A558" s="113" t="s">
        <v>284</v>
      </c>
      <c r="B558" s="112" t="s">
        <v>412</v>
      </c>
      <c r="C558" s="116" t="s">
        <v>1128</v>
      </c>
    </row>
    <row r="559" spans="1:3" ht="15">
      <c r="A559" s="113" t="s">
        <v>284</v>
      </c>
      <c r="B559" s="112" t="s">
        <v>3342</v>
      </c>
      <c r="C559" s="116" t="s">
        <v>1128</v>
      </c>
    </row>
    <row r="560" spans="1:3" ht="15">
      <c r="A560" s="113" t="s">
        <v>306</v>
      </c>
      <c r="B560" s="112" t="s">
        <v>3698</v>
      </c>
      <c r="C560" s="116" t="s">
        <v>1161</v>
      </c>
    </row>
    <row r="561" spans="1:3" ht="15">
      <c r="A561" s="113" t="s">
        <v>306</v>
      </c>
      <c r="B561" s="112" t="s">
        <v>2664</v>
      </c>
      <c r="C561" s="116" t="s">
        <v>1161</v>
      </c>
    </row>
    <row r="562" spans="1:3" ht="15">
      <c r="A562" s="113" t="s">
        <v>306</v>
      </c>
      <c r="B562" s="112" t="s">
        <v>2835</v>
      </c>
      <c r="C562" s="116" t="s">
        <v>1161</v>
      </c>
    </row>
    <row r="563" spans="1:3" ht="15">
      <c r="A563" s="113" t="s">
        <v>306</v>
      </c>
      <c r="B563" s="112" t="s">
        <v>2741</v>
      </c>
      <c r="C563" s="116" t="s">
        <v>1161</v>
      </c>
    </row>
    <row r="564" spans="1:3" ht="15">
      <c r="A564" s="113" t="s">
        <v>306</v>
      </c>
      <c r="B564" s="112" t="s">
        <v>2803</v>
      </c>
      <c r="C564" s="116" t="s">
        <v>1161</v>
      </c>
    </row>
    <row r="565" spans="1:3" ht="15">
      <c r="A565" s="113" t="s">
        <v>306</v>
      </c>
      <c r="B565" s="112" t="s">
        <v>3699</v>
      </c>
      <c r="C565" s="116" t="s">
        <v>1161</v>
      </c>
    </row>
    <row r="566" spans="1:3" ht="15">
      <c r="A566" s="113" t="s">
        <v>306</v>
      </c>
      <c r="B566" s="112" t="s">
        <v>3700</v>
      </c>
      <c r="C566" s="116" t="s">
        <v>1161</v>
      </c>
    </row>
    <row r="567" spans="1:3" ht="15">
      <c r="A567" s="113" t="s">
        <v>306</v>
      </c>
      <c r="B567" s="112">
        <v>2</v>
      </c>
      <c r="C567" s="116" t="s">
        <v>1161</v>
      </c>
    </row>
    <row r="568" spans="1:3" ht="15">
      <c r="A568" s="113" t="s">
        <v>306</v>
      </c>
      <c r="B568" s="112" t="s">
        <v>3701</v>
      </c>
      <c r="C568" s="116" t="s">
        <v>1161</v>
      </c>
    </row>
    <row r="569" spans="1:3" ht="15">
      <c r="A569" s="113" t="s">
        <v>306</v>
      </c>
      <c r="B569" s="112" t="s">
        <v>2713</v>
      </c>
      <c r="C569" s="116" t="s">
        <v>1161</v>
      </c>
    </row>
    <row r="570" spans="1:3" ht="15">
      <c r="A570" s="113" t="s">
        <v>306</v>
      </c>
      <c r="B570" s="112" t="s">
        <v>3702</v>
      </c>
      <c r="C570" s="116" t="s">
        <v>1161</v>
      </c>
    </row>
    <row r="571" spans="1:3" ht="15">
      <c r="A571" s="113" t="s">
        <v>306</v>
      </c>
      <c r="B571" s="112" t="s">
        <v>3703</v>
      </c>
      <c r="C571" s="116" t="s">
        <v>1161</v>
      </c>
    </row>
    <row r="572" spans="1:3" ht="15">
      <c r="A572" s="113" t="s">
        <v>306</v>
      </c>
      <c r="B572" s="112" t="s">
        <v>3704</v>
      </c>
      <c r="C572" s="116" t="s">
        <v>1161</v>
      </c>
    </row>
    <row r="573" spans="1:3" ht="15">
      <c r="A573" s="113" t="s">
        <v>306</v>
      </c>
      <c r="B573" s="112" t="s">
        <v>2992</v>
      </c>
      <c r="C573" s="116" t="s">
        <v>1161</v>
      </c>
    </row>
    <row r="574" spans="1:3" ht="15">
      <c r="A574" s="113" t="s">
        <v>306</v>
      </c>
      <c r="B574" s="112" t="s">
        <v>3705</v>
      </c>
      <c r="C574" s="116" t="s">
        <v>1161</v>
      </c>
    </row>
    <row r="575" spans="1:3" ht="15">
      <c r="A575" s="113" t="s">
        <v>306</v>
      </c>
      <c r="B575" s="112" t="s">
        <v>3706</v>
      </c>
      <c r="C575" s="116" t="s">
        <v>1161</v>
      </c>
    </row>
    <row r="576" spans="1:3" ht="15">
      <c r="A576" s="113" t="s">
        <v>306</v>
      </c>
      <c r="B576" s="112" t="s">
        <v>2953</v>
      </c>
      <c r="C576" s="116" t="s">
        <v>1161</v>
      </c>
    </row>
    <row r="577" spans="1:3" ht="15">
      <c r="A577" s="113" t="s">
        <v>306</v>
      </c>
      <c r="B577" s="112" t="s">
        <v>3707</v>
      </c>
      <c r="C577" s="116" t="s">
        <v>1161</v>
      </c>
    </row>
    <row r="578" spans="1:3" ht="15">
      <c r="A578" s="113" t="s">
        <v>306</v>
      </c>
      <c r="B578" s="112" t="s">
        <v>2649</v>
      </c>
      <c r="C578" s="116" t="s">
        <v>1161</v>
      </c>
    </row>
    <row r="579" spans="1:3" ht="15">
      <c r="A579" s="113" t="s">
        <v>306</v>
      </c>
      <c r="B579" s="112" t="s">
        <v>3708</v>
      </c>
      <c r="C579" s="116" t="s">
        <v>1161</v>
      </c>
    </row>
    <row r="580" spans="1:3" ht="15">
      <c r="A580" s="113" t="s">
        <v>306</v>
      </c>
      <c r="B580" s="112" t="s">
        <v>3709</v>
      </c>
      <c r="C580" s="116" t="s">
        <v>1161</v>
      </c>
    </row>
    <row r="581" spans="1:3" ht="15">
      <c r="A581" s="113" t="s">
        <v>306</v>
      </c>
      <c r="B581" s="112" t="s">
        <v>3710</v>
      </c>
      <c r="C581" s="116" t="s">
        <v>1161</v>
      </c>
    </row>
    <row r="582" spans="1:3" ht="15">
      <c r="A582" s="113" t="s">
        <v>306</v>
      </c>
      <c r="B582" s="112" t="s">
        <v>2374</v>
      </c>
      <c r="C582" s="116" t="s">
        <v>1161</v>
      </c>
    </row>
    <row r="583" spans="1:3" ht="15">
      <c r="A583" s="113" t="s">
        <v>306</v>
      </c>
      <c r="B583" s="112" t="s">
        <v>2373</v>
      </c>
      <c r="C583" s="116" t="s">
        <v>1161</v>
      </c>
    </row>
    <row r="584" spans="1:3" ht="15">
      <c r="A584" s="113" t="s">
        <v>306</v>
      </c>
      <c r="B584" s="112" t="s">
        <v>2377</v>
      </c>
      <c r="C584" s="116" t="s">
        <v>1161</v>
      </c>
    </row>
    <row r="585" spans="1:3" ht="15">
      <c r="A585" s="113" t="s">
        <v>306</v>
      </c>
      <c r="B585" s="112" t="s">
        <v>2686</v>
      </c>
      <c r="C585" s="116" t="s">
        <v>1161</v>
      </c>
    </row>
    <row r="586" spans="1:3" ht="15">
      <c r="A586" s="113" t="s">
        <v>306</v>
      </c>
      <c r="B586" s="112" t="s">
        <v>2379</v>
      </c>
      <c r="C586" s="116" t="s">
        <v>1161</v>
      </c>
    </row>
    <row r="587" spans="1:3" ht="15">
      <c r="A587" s="113" t="s">
        <v>306</v>
      </c>
      <c r="B587" s="112" t="s">
        <v>2717</v>
      </c>
      <c r="C587" s="116" t="s">
        <v>1161</v>
      </c>
    </row>
    <row r="588" spans="1:3" ht="15">
      <c r="A588" s="113" t="s">
        <v>306</v>
      </c>
      <c r="B588" s="112" t="s">
        <v>2970</v>
      </c>
      <c r="C588" s="116" t="s">
        <v>1161</v>
      </c>
    </row>
    <row r="589" spans="1:3" ht="15">
      <c r="A589" s="113" t="s">
        <v>306</v>
      </c>
      <c r="B589" s="112" t="s">
        <v>2376</v>
      </c>
      <c r="C589" s="116" t="s">
        <v>1161</v>
      </c>
    </row>
    <row r="590" spans="1:3" ht="15">
      <c r="A590" s="113" t="s">
        <v>306</v>
      </c>
      <c r="B590" s="112" t="s">
        <v>3711</v>
      </c>
      <c r="C590" s="116" t="s">
        <v>1161</v>
      </c>
    </row>
    <row r="591" spans="1:3" ht="15">
      <c r="A591" s="113" t="s">
        <v>306</v>
      </c>
      <c r="B591" s="112" t="s">
        <v>681</v>
      </c>
      <c r="C591" s="116" t="s">
        <v>1161</v>
      </c>
    </row>
    <row r="592" spans="1:3" ht="15">
      <c r="A592" s="113" t="s">
        <v>306</v>
      </c>
      <c r="B592" s="112" t="s">
        <v>3712</v>
      </c>
      <c r="C592" s="116" t="s">
        <v>1161</v>
      </c>
    </row>
    <row r="593" spans="1:3" ht="15">
      <c r="A593" s="113" t="s">
        <v>329</v>
      </c>
      <c r="B593" s="112" t="s">
        <v>2639</v>
      </c>
      <c r="C593" s="116" t="s">
        <v>1191</v>
      </c>
    </row>
    <row r="594" spans="1:3" ht="15">
      <c r="A594" s="113" t="s">
        <v>329</v>
      </c>
      <c r="B594" s="112" t="s">
        <v>3713</v>
      </c>
      <c r="C594" s="116" t="s">
        <v>1191</v>
      </c>
    </row>
    <row r="595" spans="1:3" ht="15">
      <c r="A595" s="113" t="s">
        <v>329</v>
      </c>
      <c r="B595" s="112" t="s">
        <v>2648</v>
      </c>
      <c r="C595" s="116" t="s">
        <v>1191</v>
      </c>
    </row>
    <row r="596" spans="1:3" ht="15">
      <c r="A596" s="113" t="s">
        <v>329</v>
      </c>
      <c r="B596" s="112" t="s">
        <v>2377</v>
      </c>
      <c r="C596" s="116" t="s">
        <v>1191</v>
      </c>
    </row>
    <row r="597" spans="1:3" ht="15">
      <c r="A597" s="113" t="s">
        <v>329</v>
      </c>
      <c r="B597" s="112" t="s">
        <v>3714</v>
      </c>
      <c r="C597" s="116" t="s">
        <v>1191</v>
      </c>
    </row>
    <row r="598" spans="1:3" ht="15">
      <c r="A598" s="113" t="s">
        <v>329</v>
      </c>
      <c r="B598" s="112" t="s">
        <v>2376</v>
      </c>
      <c r="C598" s="116" t="s">
        <v>1191</v>
      </c>
    </row>
    <row r="599" spans="1:3" ht="15">
      <c r="A599" s="113" t="s">
        <v>329</v>
      </c>
      <c r="B599" s="112" t="s">
        <v>3715</v>
      </c>
      <c r="C599" s="116" t="s">
        <v>1191</v>
      </c>
    </row>
    <row r="600" spans="1:3" ht="15">
      <c r="A600" s="113" t="s">
        <v>329</v>
      </c>
      <c r="B600" s="112" t="s">
        <v>2984</v>
      </c>
      <c r="C600" s="116" t="s">
        <v>1191</v>
      </c>
    </row>
    <row r="601" spans="1:3" ht="15">
      <c r="A601" s="113" t="s">
        <v>329</v>
      </c>
      <c r="B601" s="112">
        <v>2024</v>
      </c>
      <c r="C601" s="116" t="s">
        <v>1191</v>
      </c>
    </row>
    <row r="602" spans="1:3" ht="15">
      <c r="A602" s="113" t="s">
        <v>329</v>
      </c>
      <c r="B602" s="112" t="s">
        <v>2374</v>
      </c>
      <c r="C602" s="116" t="s">
        <v>1191</v>
      </c>
    </row>
    <row r="603" spans="1:3" ht="15">
      <c r="A603" s="113" t="s">
        <v>329</v>
      </c>
      <c r="B603" s="112" t="s">
        <v>2373</v>
      </c>
      <c r="C603" s="116" t="s">
        <v>1191</v>
      </c>
    </row>
    <row r="604" spans="1:3" ht="15">
      <c r="A604" s="113" t="s">
        <v>329</v>
      </c>
      <c r="B604" s="112" t="s">
        <v>681</v>
      </c>
      <c r="C604" s="116" t="s">
        <v>1191</v>
      </c>
    </row>
    <row r="605" spans="1:3" ht="15">
      <c r="A605" s="113" t="s">
        <v>268</v>
      </c>
      <c r="B605" s="112" t="s">
        <v>383</v>
      </c>
      <c r="C605" s="116" t="s">
        <v>1100</v>
      </c>
    </row>
    <row r="606" spans="1:3" ht="15">
      <c r="A606" s="113" t="s">
        <v>268</v>
      </c>
      <c r="B606" s="112" t="s">
        <v>2380</v>
      </c>
      <c r="C606" s="116" t="s">
        <v>1100</v>
      </c>
    </row>
    <row r="607" spans="1:3" ht="15">
      <c r="A607" s="113" t="s">
        <v>268</v>
      </c>
      <c r="B607" s="112" t="s">
        <v>3716</v>
      </c>
      <c r="C607" s="116" t="s">
        <v>1100</v>
      </c>
    </row>
    <row r="608" spans="1:3" ht="15">
      <c r="A608" s="113" t="s">
        <v>268</v>
      </c>
      <c r="B608" s="112" t="s">
        <v>3717</v>
      </c>
      <c r="C608" s="116" t="s">
        <v>1100</v>
      </c>
    </row>
    <row r="609" spans="1:3" ht="15">
      <c r="A609" s="113" t="s">
        <v>268</v>
      </c>
      <c r="B609" s="112" t="s">
        <v>2381</v>
      </c>
      <c r="C609" s="116" t="s">
        <v>1100</v>
      </c>
    </row>
    <row r="610" spans="1:3" ht="15">
      <c r="A610" s="113" t="s">
        <v>268</v>
      </c>
      <c r="B610" s="112" t="s">
        <v>3718</v>
      </c>
      <c r="C610" s="116" t="s">
        <v>1100</v>
      </c>
    </row>
    <row r="611" spans="1:3" ht="15">
      <c r="A611" s="113" t="s">
        <v>268</v>
      </c>
      <c r="B611" s="112" t="s">
        <v>2672</v>
      </c>
      <c r="C611" s="116" t="s">
        <v>1100</v>
      </c>
    </row>
    <row r="612" spans="1:3" ht="15">
      <c r="A612" s="113" t="s">
        <v>268</v>
      </c>
      <c r="B612" s="112" t="s">
        <v>2689</v>
      </c>
      <c r="C612" s="116" t="s">
        <v>1100</v>
      </c>
    </row>
    <row r="613" spans="1:3" ht="15">
      <c r="A613" s="113" t="s">
        <v>268</v>
      </c>
      <c r="B613" s="112" t="s">
        <v>2739</v>
      </c>
      <c r="C613" s="116" t="s">
        <v>1100</v>
      </c>
    </row>
    <row r="614" spans="1:3" ht="15">
      <c r="A614" s="113" t="s">
        <v>268</v>
      </c>
      <c r="B614" s="112" t="s">
        <v>2651</v>
      </c>
      <c r="C614" s="116" t="s">
        <v>1100</v>
      </c>
    </row>
    <row r="615" spans="1:3" ht="15">
      <c r="A615" s="113" t="s">
        <v>268</v>
      </c>
      <c r="B615" s="112" t="s">
        <v>2782</v>
      </c>
      <c r="C615" s="116" t="s">
        <v>1100</v>
      </c>
    </row>
    <row r="616" spans="1:3" ht="15">
      <c r="A616" s="113" t="s">
        <v>268</v>
      </c>
      <c r="B616" s="112" t="s">
        <v>2641</v>
      </c>
      <c r="C616" s="116" t="s">
        <v>1100</v>
      </c>
    </row>
    <row r="617" spans="1:3" ht="15">
      <c r="A617" s="113" t="s">
        <v>268</v>
      </c>
      <c r="B617" s="112" t="s">
        <v>3719</v>
      </c>
      <c r="C617" s="116" t="s">
        <v>1100</v>
      </c>
    </row>
    <row r="618" spans="1:3" ht="15">
      <c r="A618" s="113" t="s">
        <v>268</v>
      </c>
      <c r="B618" s="112" t="s">
        <v>3720</v>
      </c>
      <c r="C618" s="116" t="s">
        <v>1100</v>
      </c>
    </row>
    <row r="619" spans="1:3" ht="15">
      <c r="A619" s="113" t="s">
        <v>268</v>
      </c>
      <c r="B619" s="112" t="s">
        <v>3025</v>
      </c>
      <c r="C619" s="116" t="s">
        <v>1100</v>
      </c>
    </row>
    <row r="620" spans="1:3" ht="15">
      <c r="A620" s="113" t="s">
        <v>268</v>
      </c>
      <c r="B620" s="112" t="s">
        <v>3721</v>
      </c>
      <c r="C620" s="116" t="s">
        <v>1100</v>
      </c>
    </row>
    <row r="621" spans="1:3" ht="15">
      <c r="A621" s="113" t="s">
        <v>268</v>
      </c>
      <c r="B621" s="112" t="s">
        <v>2377</v>
      </c>
      <c r="C621" s="116" t="s">
        <v>1100</v>
      </c>
    </row>
    <row r="622" spans="1:3" ht="15">
      <c r="A622" s="113" t="s">
        <v>268</v>
      </c>
      <c r="B622" s="112" t="s">
        <v>3722</v>
      </c>
      <c r="C622" s="116" t="s">
        <v>1100</v>
      </c>
    </row>
    <row r="623" spans="1:3" ht="15">
      <c r="A623" s="113" t="s">
        <v>268</v>
      </c>
      <c r="B623" s="112" t="s">
        <v>3723</v>
      </c>
      <c r="C623" s="116" t="s">
        <v>1100</v>
      </c>
    </row>
    <row r="624" spans="1:3" ht="15">
      <c r="A624" s="113" t="s">
        <v>268</v>
      </c>
      <c r="B624" s="112" t="s">
        <v>3724</v>
      </c>
      <c r="C624" s="116" t="s">
        <v>1100</v>
      </c>
    </row>
    <row r="625" spans="1:3" ht="15">
      <c r="A625" s="113" t="s">
        <v>268</v>
      </c>
      <c r="B625" s="112" t="s">
        <v>2673</v>
      </c>
      <c r="C625" s="116" t="s">
        <v>1100</v>
      </c>
    </row>
    <row r="626" spans="1:3" ht="15">
      <c r="A626" s="113" t="s">
        <v>268</v>
      </c>
      <c r="B626" s="112" t="s">
        <v>3725</v>
      </c>
      <c r="C626" s="116" t="s">
        <v>1100</v>
      </c>
    </row>
    <row r="627" spans="1:3" ht="15">
      <c r="A627" s="113" t="s">
        <v>268</v>
      </c>
      <c r="B627" s="112" t="s">
        <v>3726</v>
      </c>
      <c r="C627" s="116" t="s">
        <v>1100</v>
      </c>
    </row>
    <row r="628" spans="1:3" ht="15">
      <c r="A628" s="113" t="s">
        <v>268</v>
      </c>
      <c r="B628" s="112" t="s">
        <v>3727</v>
      </c>
      <c r="C628" s="116" t="s">
        <v>1100</v>
      </c>
    </row>
    <row r="629" spans="1:3" ht="15">
      <c r="A629" s="113" t="s">
        <v>268</v>
      </c>
      <c r="B629" s="112" t="s">
        <v>2677</v>
      </c>
      <c r="C629" s="116" t="s">
        <v>1100</v>
      </c>
    </row>
    <row r="630" spans="1:3" ht="15">
      <c r="A630" s="113" t="s">
        <v>268</v>
      </c>
      <c r="B630" s="112" t="s">
        <v>3728</v>
      </c>
      <c r="C630" s="116" t="s">
        <v>1100</v>
      </c>
    </row>
    <row r="631" spans="1:3" ht="15">
      <c r="A631" s="113" t="s">
        <v>268</v>
      </c>
      <c r="B631" s="112" t="s">
        <v>3729</v>
      </c>
      <c r="C631" s="116" t="s">
        <v>1100</v>
      </c>
    </row>
    <row r="632" spans="1:3" ht="15">
      <c r="A632" s="113" t="s">
        <v>268</v>
      </c>
      <c r="B632" s="112" t="s">
        <v>2376</v>
      </c>
      <c r="C632" s="116" t="s">
        <v>1100</v>
      </c>
    </row>
    <row r="633" spans="1:3" ht="15">
      <c r="A633" s="113" t="s">
        <v>268</v>
      </c>
      <c r="B633" s="112" t="s">
        <v>2989</v>
      </c>
      <c r="C633" s="116" t="s">
        <v>1100</v>
      </c>
    </row>
    <row r="634" spans="1:3" ht="15">
      <c r="A634" s="113" t="s">
        <v>268</v>
      </c>
      <c r="B634" s="112" t="s">
        <v>3730</v>
      </c>
      <c r="C634" s="116" t="s">
        <v>1100</v>
      </c>
    </row>
    <row r="635" spans="1:3" ht="15">
      <c r="A635" s="113" t="s">
        <v>268</v>
      </c>
      <c r="B635" s="112" t="s">
        <v>2717</v>
      </c>
      <c r="C635" s="116" t="s">
        <v>1100</v>
      </c>
    </row>
    <row r="636" spans="1:3" ht="15">
      <c r="A636" s="113" t="s">
        <v>268</v>
      </c>
      <c r="B636" s="112" t="s">
        <v>2694</v>
      </c>
      <c r="C636" s="116" t="s">
        <v>1100</v>
      </c>
    </row>
    <row r="637" spans="1:3" ht="15">
      <c r="A637" s="113" t="s">
        <v>268</v>
      </c>
      <c r="B637" s="112" t="s">
        <v>2884</v>
      </c>
      <c r="C637" s="116" t="s">
        <v>1100</v>
      </c>
    </row>
    <row r="638" spans="1:3" ht="15">
      <c r="A638" s="113" t="s">
        <v>268</v>
      </c>
      <c r="B638" s="112" t="s">
        <v>2746</v>
      </c>
      <c r="C638" s="116" t="s">
        <v>1100</v>
      </c>
    </row>
    <row r="639" spans="1:3" ht="15">
      <c r="A639" s="113" t="s">
        <v>296</v>
      </c>
      <c r="B639" s="112" t="s">
        <v>2374</v>
      </c>
      <c r="C639" s="116" t="s">
        <v>1151</v>
      </c>
    </row>
    <row r="640" spans="1:3" ht="15">
      <c r="A640" s="113" t="s">
        <v>296</v>
      </c>
      <c r="B640" s="112" t="s">
        <v>2373</v>
      </c>
      <c r="C640" s="116" t="s">
        <v>1151</v>
      </c>
    </row>
    <row r="641" spans="1:3" ht="15">
      <c r="A641" s="113" t="s">
        <v>296</v>
      </c>
      <c r="B641" s="112" t="s">
        <v>681</v>
      </c>
      <c r="C641" s="116" t="s">
        <v>1151</v>
      </c>
    </row>
    <row r="642" spans="1:3" ht="15">
      <c r="A642" s="113" t="s">
        <v>296</v>
      </c>
      <c r="B642" s="112" t="s">
        <v>466</v>
      </c>
      <c r="C642" s="116" t="s">
        <v>1151</v>
      </c>
    </row>
    <row r="643" spans="1:3" ht="15">
      <c r="A643" s="113" t="s">
        <v>296</v>
      </c>
      <c r="B643" s="112" t="s">
        <v>3364</v>
      </c>
      <c r="C643" s="116" t="s">
        <v>1151</v>
      </c>
    </row>
    <row r="644" spans="1:3" ht="15">
      <c r="A644" s="113" t="s">
        <v>245</v>
      </c>
      <c r="B644" s="112" t="s">
        <v>357</v>
      </c>
      <c r="C644" s="116" t="s">
        <v>1057</v>
      </c>
    </row>
    <row r="645" spans="1:3" ht="15">
      <c r="A645" s="113" t="s">
        <v>245</v>
      </c>
      <c r="B645" s="112" t="s">
        <v>2824</v>
      </c>
      <c r="C645" s="116" t="s">
        <v>1057</v>
      </c>
    </row>
    <row r="646" spans="1:3" ht="15">
      <c r="A646" s="113" t="s">
        <v>245</v>
      </c>
      <c r="B646" s="112" t="s">
        <v>2807</v>
      </c>
      <c r="C646" s="116" t="s">
        <v>1057</v>
      </c>
    </row>
    <row r="647" spans="1:3" ht="15">
      <c r="A647" s="113" t="s">
        <v>245</v>
      </c>
      <c r="B647" s="112" t="s">
        <v>2823</v>
      </c>
      <c r="C647" s="116" t="s">
        <v>1057</v>
      </c>
    </row>
    <row r="648" spans="1:3" ht="15">
      <c r="A648" s="113" t="s">
        <v>245</v>
      </c>
      <c r="B648" s="112" t="s">
        <v>2637</v>
      </c>
      <c r="C648" s="116" t="s">
        <v>1057</v>
      </c>
    </row>
    <row r="649" spans="1:3" ht="15">
      <c r="A649" s="113" t="s">
        <v>245</v>
      </c>
      <c r="B649" s="112" t="s">
        <v>2643</v>
      </c>
      <c r="C649" s="116" t="s">
        <v>1057</v>
      </c>
    </row>
    <row r="650" spans="1:3" ht="15">
      <c r="A650" s="113" t="s">
        <v>245</v>
      </c>
      <c r="B650" s="112" t="s">
        <v>2651</v>
      </c>
      <c r="C650" s="116" t="s">
        <v>1057</v>
      </c>
    </row>
    <row r="651" spans="1:3" ht="15">
      <c r="A651" s="113" t="s">
        <v>245</v>
      </c>
      <c r="B651" s="112" t="s">
        <v>2805</v>
      </c>
      <c r="C651" s="116" t="s">
        <v>1057</v>
      </c>
    </row>
    <row r="652" spans="1:3" ht="15">
      <c r="A652" s="113" t="s">
        <v>245</v>
      </c>
      <c r="B652" s="112" t="s">
        <v>2706</v>
      </c>
      <c r="C652" s="116" t="s">
        <v>1057</v>
      </c>
    </row>
    <row r="653" spans="1:3" ht="15">
      <c r="A653" s="113" t="s">
        <v>245</v>
      </c>
      <c r="B653" s="112" t="s">
        <v>2708</v>
      </c>
      <c r="C653" s="116" t="s">
        <v>1057</v>
      </c>
    </row>
    <row r="654" spans="1:3" ht="15">
      <c r="A654" s="113" t="s">
        <v>245</v>
      </c>
      <c r="B654" s="112" t="s">
        <v>2374</v>
      </c>
      <c r="C654" s="116" t="s">
        <v>1057</v>
      </c>
    </row>
    <row r="655" spans="1:3" ht="15">
      <c r="A655" s="113" t="s">
        <v>245</v>
      </c>
      <c r="B655" s="112" t="s">
        <v>2373</v>
      </c>
      <c r="C655" s="116" t="s">
        <v>1057</v>
      </c>
    </row>
    <row r="656" spans="1:3" ht="15">
      <c r="A656" s="113" t="s">
        <v>245</v>
      </c>
      <c r="B656" s="112" t="s">
        <v>681</v>
      </c>
      <c r="C656" s="116" t="s">
        <v>1057</v>
      </c>
    </row>
    <row r="657" spans="1:3" ht="15">
      <c r="A657" s="113" t="s">
        <v>261</v>
      </c>
      <c r="B657" s="112" t="s">
        <v>3739</v>
      </c>
      <c r="C657" s="116" t="s">
        <v>1090</v>
      </c>
    </row>
    <row r="658" spans="1:3" ht="15">
      <c r="A658" s="113" t="s">
        <v>261</v>
      </c>
      <c r="B658" s="112" t="s">
        <v>3740</v>
      </c>
      <c r="C658" s="116" t="s">
        <v>1090</v>
      </c>
    </row>
    <row r="659" spans="1:3" ht="15">
      <c r="A659" s="113" t="s">
        <v>261</v>
      </c>
      <c r="B659" s="112" t="s">
        <v>3741</v>
      </c>
      <c r="C659" s="116" t="s">
        <v>1090</v>
      </c>
    </row>
    <row r="660" spans="1:3" ht="15">
      <c r="A660" s="113" t="s">
        <v>261</v>
      </c>
      <c r="B660" s="112" t="s">
        <v>2741</v>
      </c>
      <c r="C660" s="116" t="s">
        <v>1090</v>
      </c>
    </row>
    <row r="661" spans="1:3" ht="15">
      <c r="A661" s="113" t="s">
        <v>261</v>
      </c>
      <c r="B661" s="112" t="s">
        <v>2376</v>
      </c>
      <c r="C661" s="116" t="s">
        <v>1090</v>
      </c>
    </row>
    <row r="662" spans="1:3" ht="15">
      <c r="A662" s="113" t="s">
        <v>261</v>
      </c>
      <c r="B662" s="112" t="s">
        <v>2803</v>
      </c>
      <c r="C662" s="116" t="s">
        <v>1090</v>
      </c>
    </row>
    <row r="663" spans="1:3" ht="15">
      <c r="A663" s="113" t="s">
        <v>261</v>
      </c>
      <c r="B663" s="112" t="s">
        <v>2644</v>
      </c>
      <c r="C663" s="116" t="s">
        <v>1090</v>
      </c>
    </row>
    <row r="664" spans="1:3" ht="15">
      <c r="A664" s="113" t="s">
        <v>261</v>
      </c>
      <c r="B664" s="112" t="s">
        <v>2654</v>
      </c>
      <c r="C664" s="116" t="s">
        <v>1090</v>
      </c>
    </row>
    <row r="665" spans="1:3" ht="15">
      <c r="A665" s="113" t="s">
        <v>261</v>
      </c>
      <c r="B665" s="112" t="s">
        <v>2834</v>
      </c>
      <c r="C665" s="116" t="s">
        <v>1090</v>
      </c>
    </row>
    <row r="666" spans="1:3" ht="15">
      <c r="A666" s="113" t="s">
        <v>261</v>
      </c>
      <c r="B666" s="112" t="s">
        <v>2869</v>
      </c>
      <c r="C666" s="116" t="s">
        <v>1090</v>
      </c>
    </row>
    <row r="667" spans="1:3" ht="15">
      <c r="A667" s="113" t="s">
        <v>261</v>
      </c>
      <c r="B667" s="112" t="s">
        <v>3002</v>
      </c>
      <c r="C667" s="116" t="s">
        <v>1090</v>
      </c>
    </row>
    <row r="668" spans="1:3" ht="15">
      <c r="A668" s="113" t="s">
        <v>261</v>
      </c>
      <c r="B668" s="112" t="s">
        <v>2657</v>
      </c>
      <c r="C668" s="116" t="s">
        <v>1090</v>
      </c>
    </row>
    <row r="669" spans="1:3" ht="15">
      <c r="A669" s="113" t="s">
        <v>261</v>
      </c>
      <c r="B669" s="112" t="s">
        <v>3742</v>
      </c>
      <c r="C669" s="116" t="s">
        <v>1090</v>
      </c>
    </row>
    <row r="670" spans="1:3" ht="15">
      <c r="A670" s="113" t="s">
        <v>261</v>
      </c>
      <c r="B670" s="112" t="s">
        <v>2995</v>
      </c>
      <c r="C670" s="116" t="s">
        <v>1090</v>
      </c>
    </row>
    <row r="671" spans="1:3" ht="15">
      <c r="A671" s="113" t="s">
        <v>261</v>
      </c>
      <c r="B671" s="112" t="s">
        <v>3743</v>
      </c>
      <c r="C671" s="116" t="s">
        <v>1090</v>
      </c>
    </row>
    <row r="672" spans="1:3" ht="15">
      <c r="A672" s="113" t="s">
        <v>261</v>
      </c>
      <c r="B672" s="112" t="s">
        <v>2787</v>
      </c>
      <c r="C672" s="116" t="s">
        <v>1090</v>
      </c>
    </row>
    <row r="673" spans="1:3" ht="15">
      <c r="A673" s="113" t="s">
        <v>261</v>
      </c>
      <c r="B673" s="112" t="s">
        <v>2791</v>
      </c>
      <c r="C673" s="116" t="s">
        <v>1090</v>
      </c>
    </row>
    <row r="674" spans="1:3" ht="15">
      <c r="A674" s="113" t="s">
        <v>261</v>
      </c>
      <c r="B674" s="112" t="s">
        <v>2738</v>
      </c>
      <c r="C674" s="116" t="s">
        <v>1090</v>
      </c>
    </row>
    <row r="675" spans="1:3" ht="15">
      <c r="A675" s="113" t="s">
        <v>261</v>
      </c>
      <c r="B675" s="112" t="s">
        <v>2637</v>
      </c>
      <c r="C675" s="116" t="s">
        <v>1090</v>
      </c>
    </row>
    <row r="676" spans="1:3" ht="15">
      <c r="A676" s="113" t="s">
        <v>261</v>
      </c>
      <c r="B676" s="112" t="s">
        <v>2643</v>
      </c>
      <c r="C676" s="116" t="s">
        <v>1090</v>
      </c>
    </row>
    <row r="677" spans="1:3" ht="15">
      <c r="A677" s="113" t="s">
        <v>261</v>
      </c>
      <c r="B677" s="112" t="s">
        <v>2659</v>
      </c>
      <c r="C677" s="116" t="s">
        <v>1090</v>
      </c>
    </row>
    <row r="678" spans="1:3" ht="15">
      <c r="A678" s="113" t="s">
        <v>261</v>
      </c>
      <c r="B678" s="112" t="s">
        <v>2891</v>
      </c>
      <c r="C678" s="116" t="s">
        <v>1090</v>
      </c>
    </row>
    <row r="679" spans="1:3" ht="15">
      <c r="A679" s="113" t="s">
        <v>261</v>
      </c>
      <c r="B679" s="112" t="s">
        <v>2736</v>
      </c>
      <c r="C679" s="116" t="s">
        <v>1090</v>
      </c>
    </row>
    <row r="680" spans="1:3" ht="15">
      <c r="A680" s="113" t="s">
        <v>261</v>
      </c>
      <c r="B680" s="112" t="s">
        <v>2770</v>
      </c>
      <c r="C680" s="116" t="s">
        <v>1090</v>
      </c>
    </row>
    <row r="681" spans="1:3" ht="15">
      <c r="A681" s="113" t="s">
        <v>329</v>
      </c>
      <c r="B681" s="112" t="s">
        <v>3261</v>
      </c>
      <c r="C681" s="116" t="s">
        <v>1213</v>
      </c>
    </row>
    <row r="682" spans="1:3" ht="15">
      <c r="A682" s="113" t="s">
        <v>329</v>
      </c>
      <c r="B682" s="112" t="s">
        <v>682</v>
      </c>
      <c r="C682" s="116" t="s">
        <v>1213</v>
      </c>
    </row>
    <row r="683" spans="1:3" ht="15">
      <c r="A683" s="113" t="s">
        <v>329</v>
      </c>
      <c r="B683" s="112" t="s">
        <v>3260</v>
      </c>
      <c r="C683" s="116" t="s">
        <v>1213</v>
      </c>
    </row>
    <row r="684" spans="1:3" ht="15">
      <c r="A684" s="113" t="s">
        <v>329</v>
      </c>
      <c r="B684" s="112" t="s">
        <v>3731</v>
      </c>
      <c r="C684" s="116" t="s">
        <v>1213</v>
      </c>
    </row>
    <row r="685" spans="1:3" ht="15">
      <c r="A685" s="113" t="s">
        <v>329</v>
      </c>
      <c r="B685" s="112" t="s">
        <v>2937</v>
      </c>
      <c r="C685" s="116" t="s">
        <v>1213</v>
      </c>
    </row>
    <row r="686" spans="1:3" ht="15">
      <c r="A686" s="113" t="s">
        <v>329</v>
      </c>
      <c r="B686" s="112" t="s">
        <v>3732</v>
      </c>
      <c r="C686" s="116" t="s">
        <v>1213</v>
      </c>
    </row>
    <row r="687" spans="1:3" ht="15">
      <c r="A687" s="113" t="s">
        <v>329</v>
      </c>
      <c r="B687" s="112" t="s">
        <v>2998</v>
      </c>
      <c r="C687" s="116" t="s">
        <v>1213</v>
      </c>
    </row>
    <row r="688" spans="1:3" ht="15">
      <c r="A688" s="113" t="s">
        <v>329</v>
      </c>
      <c r="B688" s="112" t="s">
        <v>3733</v>
      </c>
      <c r="C688" s="116" t="s">
        <v>1213</v>
      </c>
    </row>
    <row r="689" spans="1:3" ht="15">
      <c r="A689" s="113" t="s">
        <v>329</v>
      </c>
      <c r="B689" s="112" t="s">
        <v>3734</v>
      </c>
      <c r="C689" s="116" t="s">
        <v>1213</v>
      </c>
    </row>
    <row r="690" spans="1:3" ht="15">
      <c r="A690" s="113" t="s">
        <v>329</v>
      </c>
      <c r="B690" s="112" t="s">
        <v>2660</v>
      </c>
      <c r="C690" s="116" t="s">
        <v>1213</v>
      </c>
    </row>
    <row r="691" spans="1:3" ht="15">
      <c r="A691" s="113" t="s">
        <v>329</v>
      </c>
      <c r="B691" s="112" t="s">
        <v>3735</v>
      </c>
      <c r="C691" s="116" t="s">
        <v>1213</v>
      </c>
    </row>
    <row r="692" spans="1:3" ht="15">
      <c r="A692" s="113" t="s">
        <v>329</v>
      </c>
      <c r="B692" s="112" t="s">
        <v>2376</v>
      </c>
      <c r="C692" s="116" t="s">
        <v>1213</v>
      </c>
    </row>
    <row r="693" spans="1:3" ht="15">
      <c r="A693" s="113" t="s">
        <v>329</v>
      </c>
      <c r="B693" s="112" t="s">
        <v>3736</v>
      </c>
      <c r="C693" s="116" t="s">
        <v>1213</v>
      </c>
    </row>
    <row r="694" spans="1:3" ht="15">
      <c r="A694" s="113" t="s">
        <v>329</v>
      </c>
      <c r="B694" s="112" t="s">
        <v>2832</v>
      </c>
      <c r="C694" s="116" t="s">
        <v>1213</v>
      </c>
    </row>
    <row r="695" spans="1:3" ht="15">
      <c r="A695" s="113" t="s">
        <v>329</v>
      </c>
      <c r="B695" s="112" t="s">
        <v>2761</v>
      </c>
      <c r="C695" s="116" t="s">
        <v>1213</v>
      </c>
    </row>
    <row r="696" spans="1:3" ht="15">
      <c r="A696" s="113" t="s">
        <v>329</v>
      </c>
      <c r="B696" s="112">
        <v>98</v>
      </c>
      <c r="C696" s="116" t="s">
        <v>1213</v>
      </c>
    </row>
    <row r="697" spans="1:3" ht="15">
      <c r="A697" s="113" t="s">
        <v>329</v>
      </c>
      <c r="B697" s="112" t="s">
        <v>3737</v>
      </c>
      <c r="C697" s="116" t="s">
        <v>1213</v>
      </c>
    </row>
    <row r="698" spans="1:3" ht="15">
      <c r="A698" s="113" t="s">
        <v>329</v>
      </c>
      <c r="B698" s="112" t="s">
        <v>2995</v>
      </c>
      <c r="C698" s="116" t="s">
        <v>1213</v>
      </c>
    </row>
    <row r="699" spans="1:3" ht="15">
      <c r="A699" s="113" t="s">
        <v>329</v>
      </c>
      <c r="B699" s="112" t="s">
        <v>3738</v>
      </c>
      <c r="C699" s="116" t="s">
        <v>1213</v>
      </c>
    </row>
    <row r="700" spans="1:3" ht="15">
      <c r="A700" s="113" t="s">
        <v>329</v>
      </c>
      <c r="B700" s="112" t="s">
        <v>2689</v>
      </c>
      <c r="C700" s="116" t="s">
        <v>1213</v>
      </c>
    </row>
    <row r="701" spans="1:3" ht="15">
      <c r="A701" s="113" t="s">
        <v>284</v>
      </c>
      <c r="B701" s="112" t="s">
        <v>682</v>
      </c>
      <c r="C701" s="116" t="s">
        <v>1131</v>
      </c>
    </row>
    <row r="702" spans="1:3" ht="15">
      <c r="A702" s="113" t="s">
        <v>284</v>
      </c>
      <c r="B702" s="112" t="s">
        <v>3017</v>
      </c>
      <c r="C702" s="116" t="s">
        <v>1131</v>
      </c>
    </row>
    <row r="703" spans="1:3" ht="15">
      <c r="A703" s="113" t="s">
        <v>284</v>
      </c>
      <c r="B703" s="112" t="s">
        <v>3744</v>
      </c>
      <c r="C703" s="116" t="s">
        <v>1131</v>
      </c>
    </row>
    <row r="704" spans="1:3" ht="15">
      <c r="A704" s="113" t="s">
        <v>284</v>
      </c>
      <c r="B704" s="112" t="s">
        <v>2758</v>
      </c>
      <c r="C704" s="116" t="s">
        <v>1131</v>
      </c>
    </row>
    <row r="705" spans="1:3" ht="15">
      <c r="A705" s="113" t="s">
        <v>284</v>
      </c>
      <c r="B705" s="112" t="s">
        <v>2726</v>
      </c>
      <c r="C705" s="116" t="s">
        <v>1131</v>
      </c>
    </row>
    <row r="706" spans="1:3" ht="15">
      <c r="A706" s="113" t="s">
        <v>284</v>
      </c>
      <c r="B706" s="112" t="s">
        <v>2376</v>
      </c>
      <c r="C706" s="116" t="s">
        <v>1131</v>
      </c>
    </row>
    <row r="707" spans="1:3" ht="15">
      <c r="A707" s="113" t="s">
        <v>284</v>
      </c>
      <c r="B707" s="112" t="s">
        <v>2936</v>
      </c>
      <c r="C707" s="116" t="s">
        <v>1131</v>
      </c>
    </row>
    <row r="708" spans="1:3" ht="15">
      <c r="A708" s="113" t="s">
        <v>284</v>
      </c>
      <c r="B708" s="112" t="s">
        <v>3745</v>
      </c>
      <c r="C708" s="116" t="s">
        <v>1131</v>
      </c>
    </row>
    <row r="709" spans="1:3" ht="15">
      <c r="A709" s="113" t="s">
        <v>284</v>
      </c>
      <c r="B709" s="112" t="s">
        <v>3746</v>
      </c>
      <c r="C709" s="116" t="s">
        <v>1131</v>
      </c>
    </row>
    <row r="710" spans="1:3" ht="15">
      <c r="A710" s="113" t="s">
        <v>284</v>
      </c>
      <c r="B710" s="112" t="s">
        <v>3747</v>
      </c>
      <c r="C710" s="116" t="s">
        <v>1131</v>
      </c>
    </row>
    <row r="711" spans="1:3" ht="15">
      <c r="A711" s="113" t="s">
        <v>284</v>
      </c>
      <c r="B711" s="112" t="s">
        <v>3748</v>
      </c>
      <c r="C711" s="116" t="s">
        <v>1131</v>
      </c>
    </row>
    <row r="712" spans="1:3" ht="15">
      <c r="A712" s="113" t="s">
        <v>284</v>
      </c>
      <c r="B712" s="112" t="s">
        <v>2765</v>
      </c>
      <c r="C712" s="116" t="s">
        <v>1131</v>
      </c>
    </row>
    <row r="713" spans="1:3" ht="15">
      <c r="A713" s="113" t="s">
        <v>284</v>
      </c>
      <c r="B713" s="112" t="s">
        <v>3749</v>
      </c>
      <c r="C713" s="116" t="s">
        <v>1131</v>
      </c>
    </row>
    <row r="714" spans="1:3" ht="15">
      <c r="A714" s="113" t="s">
        <v>284</v>
      </c>
      <c r="B714" s="112" t="s">
        <v>2639</v>
      </c>
      <c r="C714" s="116" t="s">
        <v>1131</v>
      </c>
    </row>
    <row r="715" spans="1:3" ht="15">
      <c r="A715" s="113" t="s">
        <v>284</v>
      </c>
      <c r="B715" s="112" t="s">
        <v>2797</v>
      </c>
      <c r="C715" s="116" t="s">
        <v>1131</v>
      </c>
    </row>
    <row r="716" spans="1:3" ht="15">
      <c r="A716" s="113" t="s">
        <v>284</v>
      </c>
      <c r="B716" s="112" t="s">
        <v>2737</v>
      </c>
      <c r="C716" s="116" t="s">
        <v>1131</v>
      </c>
    </row>
    <row r="717" spans="1:3" ht="15">
      <c r="A717" s="113" t="s">
        <v>284</v>
      </c>
      <c r="B717" s="112" t="s">
        <v>2804</v>
      </c>
      <c r="C717" s="116" t="s">
        <v>1131</v>
      </c>
    </row>
    <row r="718" spans="1:3" ht="15">
      <c r="A718" s="113" t="s">
        <v>284</v>
      </c>
      <c r="B718" s="112" t="s">
        <v>418</v>
      </c>
      <c r="C718" s="116" t="s">
        <v>1131</v>
      </c>
    </row>
    <row r="719" spans="1:3" ht="15">
      <c r="A719" s="113" t="s">
        <v>284</v>
      </c>
      <c r="B719" s="112" t="s">
        <v>419</v>
      </c>
      <c r="C719" s="116" t="s">
        <v>1131</v>
      </c>
    </row>
    <row r="720" spans="1:3" ht="15">
      <c r="A720" s="113" t="s">
        <v>284</v>
      </c>
      <c r="B720" s="112" t="s">
        <v>395</v>
      </c>
      <c r="C720" s="116" t="s">
        <v>1131</v>
      </c>
    </row>
    <row r="721" spans="1:3" ht="15">
      <c r="A721" s="113" t="s">
        <v>284</v>
      </c>
      <c r="B721" s="112" t="s">
        <v>394</v>
      </c>
      <c r="C721" s="116" t="s">
        <v>1131</v>
      </c>
    </row>
    <row r="722" spans="1:3" ht="15">
      <c r="A722" s="113" t="s">
        <v>284</v>
      </c>
      <c r="B722" s="112" t="s">
        <v>420</v>
      </c>
      <c r="C722" s="116" t="s">
        <v>1131</v>
      </c>
    </row>
    <row r="723" spans="1:3" ht="15">
      <c r="A723" s="113" t="s">
        <v>284</v>
      </c>
      <c r="B723" s="112" t="s">
        <v>421</v>
      </c>
      <c r="C723" s="116" t="s">
        <v>1131</v>
      </c>
    </row>
    <row r="724" spans="1:3" ht="15">
      <c r="A724" s="113" t="s">
        <v>294</v>
      </c>
      <c r="B724" s="112" t="s">
        <v>682</v>
      </c>
      <c r="C724" s="116" t="s">
        <v>1148</v>
      </c>
    </row>
    <row r="725" spans="1:3" ht="15">
      <c r="A725" s="113" t="s">
        <v>294</v>
      </c>
      <c r="B725" s="112" t="s">
        <v>2726</v>
      </c>
      <c r="C725" s="116" t="s">
        <v>1148</v>
      </c>
    </row>
    <row r="726" spans="1:3" ht="15">
      <c r="A726" s="113" t="s">
        <v>294</v>
      </c>
      <c r="B726" s="112" t="s">
        <v>2660</v>
      </c>
      <c r="C726" s="116" t="s">
        <v>1148</v>
      </c>
    </row>
    <row r="727" spans="1:3" ht="15">
      <c r="A727" s="113" t="s">
        <v>294</v>
      </c>
      <c r="B727" s="112" t="s">
        <v>2639</v>
      </c>
      <c r="C727" s="116" t="s">
        <v>1148</v>
      </c>
    </row>
    <row r="728" spans="1:3" ht="15">
      <c r="A728" s="113" t="s">
        <v>294</v>
      </c>
      <c r="B728" s="112" t="s">
        <v>2976</v>
      </c>
      <c r="C728" s="116" t="s">
        <v>1148</v>
      </c>
    </row>
    <row r="729" spans="1:3" ht="15">
      <c r="A729" s="113" t="s">
        <v>294</v>
      </c>
      <c r="B729" s="112" t="s">
        <v>3026</v>
      </c>
      <c r="C729" s="116" t="s">
        <v>1148</v>
      </c>
    </row>
    <row r="730" spans="1:3" ht="15">
      <c r="A730" s="113" t="s">
        <v>294</v>
      </c>
      <c r="B730" s="112" t="s">
        <v>3750</v>
      </c>
      <c r="C730" s="116" t="s">
        <v>1148</v>
      </c>
    </row>
    <row r="731" spans="1:3" ht="15">
      <c r="A731" s="113" t="s">
        <v>294</v>
      </c>
      <c r="B731" s="112" t="s">
        <v>3751</v>
      </c>
      <c r="C731" s="116" t="s">
        <v>1148</v>
      </c>
    </row>
    <row r="732" spans="1:3" ht="15">
      <c r="A732" s="113" t="s">
        <v>294</v>
      </c>
      <c r="B732" s="112" t="s">
        <v>2636</v>
      </c>
      <c r="C732" s="116" t="s">
        <v>1148</v>
      </c>
    </row>
    <row r="733" spans="1:3" ht="15">
      <c r="A733" s="113" t="s">
        <v>294</v>
      </c>
      <c r="B733" s="112" t="s">
        <v>2910</v>
      </c>
      <c r="C733" s="116" t="s">
        <v>1148</v>
      </c>
    </row>
    <row r="734" spans="1:3" ht="15">
      <c r="A734" s="113" t="s">
        <v>294</v>
      </c>
      <c r="B734" s="112" t="s">
        <v>2669</v>
      </c>
      <c r="C734" s="116" t="s">
        <v>1148</v>
      </c>
    </row>
    <row r="735" spans="1:3" ht="15">
      <c r="A735" s="113" t="s">
        <v>294</v>
      </c>
      <c r="B735" s="112" t="s">
        <v>2884</v>
      </c>
      <c r="C735" s="116" t="s">
        <v>1148</v>
      </c>
    </row>
    <row r="736" spans="1:3" ht="15">
      <c r="A736" s="113" t="s">
        <v>294</v>
      </c>
      <c r="B736" s="112" t="s">
        <v>2672</v>
      </c>
      <c r="C736" s="116" t="s">
        <v>1148</v>
      </c>
    </row>
    <row r="737" spans="1:3" ht="15">
      <c r="A737" s="113" t="s">
        <v>294</v>
      </c>
      <c r="B737" s="112" t="s">
        <v>3752</v>
      </c>
      <c r="C737" s="116" t="s">
        <v>1148</v>
      </c>
    </row>
    <row r="738" spans="1:3" ht="15">
      <c r="A738" s="113" t="s">
        <v>294</v>
      </c>
      <c r="B738" s="112" t="s">
        <v>339</v>
      </c>
      <c r="C738" s="116" t="s">
        <v>1148</v>
      </c>
    </row>
    <row r="739" spans="1:3" ht="15">
      <c r="A739" s="113" t="s">
        <v>235</v>
      </c>
      <c r="B739" s="112" t="s">
        <v>682</v>
      </c>
      <c r="C739" s="116" t="s">
        <v>1044</v>
      </c>
    </row>
    <row r="740" spans="1:3" ht="15">
      <c r="A740" s="113" t="s">
        <v>235</v>
      </c>
      <c r="B740" s="112" t="s">
        <v>2658</v>
      </c>
      <c r="C740" s="116" t="s">
        <v>1044</v>
      </c>
    </row>
    <row r="741" spans="1:3" ht="15">
      <c r="A741" s="113" t="s">
        <v>235</v>
      </c>
      <c r="B741" s="112" t="s">
        <v>2714</v>
      </c>
      <c r="C741" s="116" t="s">
        <v>1044</v>
      </c>
    </row>
    <row r="742" spans="1:3" ht="15">
      <c r="A742" s="113" t="s">
        <v>235</v>
      </c>
      <c r="B742" s="112" t="s">
        <v>3753</v>
      </c>
      <c r="C742" s="116" t="s">
        <v>1044</v>
      </c>
    </row>
    <row r="743" spans="1:3" ht="15">
      <c r="A743" s="113" t="s">
        <v>235</v>
      </c>
      <c r="B743" s="112" t="s">
        <v>3754</v>
      </c>
      <c r="C743" s="116" t="s">
        <v>1044</v>
      </c>
    </row>
    <row r="744" spans="1:3" ht="15">
      <c r="A744" s="113" t="s">
        <v>235</v>
      </c>
      <c r="B744" s="112" t="s">
        <v>2651</v>
      </c>
      <c r="C744" s="116" t="s">
        <v>1044</v>
      </c>
    </row>
    <row r="745" spans="1:3" ht="15">
      <c r="A745" s="113" t="s">
        <v>235</v>
      </c>
      <c r="B745" s="112" t="s">
        <v>3755</v>
      </c>
      <c r="C745" s="116" t="s">
        <v>1044</v>
      </c>
    </row>
    <row r="746" spans="1:3" ht="15">
      <c r="A746" s="113" t="s">
        <v>235</v>
      </c>
      <c r="B746" s="112" t="s">
        <v>2379</v>
      </c>
      <c r="C746" s="116" t="s">
        <v>1044</v>
      </c>
    </row>
    <row r="747" spans="1:3" ht="15">
      <c r="A747" s="113" t="s">
        <v>235</v>
      </c>
      <c r="B747" s="112" t="s">
        <v>3756</v>
      </c>
      <c r="C747" s="116" t="s">
        <v>1044</v>
      </c>
    </row>
    <row r="748" spans="1:3" ht="15">
      <c r="A748" s="113" t="s">
        <v>235</v>
      </c>
      <c r="B748" s="112" t="s">
        <v>3757</v>
      </c>
      <c r="C748" s="116" t="s">
        <v>1044</v>
      </c>
    </row>
    <row r="749" spans="1:3" ht="15">
      <c r="A749" s="113" t="s">
        <v>235</v>
      </c>
      <c r="B749" s="112" t="s">
        <v>3758</v>
      </c>
      <c r="C749" s="116" t="s">
        <v>1044</v>
      </c>
    </row>
    <row r="750" spans="1:3" ht="15">
      <c r="A750" s="113" t="s">
        <v>235</v>
      </c>
      <c r="B750" s="112" t="s">
        <v>3759</v>
      </c>
      <c r="C750" s="116" t="s">
        <v>1044</v>
      </c>
    </row>
    <row r="751" spans="1:3" ht="15">
      <c r="A751" s="113" t="s">
        <v>235</v>
      </c>
      <c r="B751" s="112" t="s">
        <v>2834</v>
      </c>
      <c r="C751" s="116" t="s">
        <v>1044</v>
      </c>
    </row>
    <row r="752" spans="1:3" ht="15">
      <c r="A752" s="113" t="s">
        <v>235</v>
      </c>
      <c r="B752" s="112" t="s">
        <v>3760</v>
      </c>
      <c r="C752" s="116" t="s">
        <v>1044</v>
      </c>
    </row>
    <row r="753" spans="1:3" ht="15">
      <c r="A753" s="113" t="s">
        <v>235</v>
      </c>
      <c r="B753" s="112" t="s">
        <v>3761</v>
      </c>
      <c r="C753" s="116" t="s">
        <v>1044</v>
      </c>
    </row>
    <row r="754" spans="1:3" ht="15">
      <c r="A754" s="113" t="s">
        <v>235</v>
      </c>
      <c r="B754" s="112" t="s">
        <v>2376</v>
      </c>
      <c r="C754" s="116" t="s">
        <v>1044</v>
      </c>
    </row>
    <row r="755" spans="1:3" ht="15">
      <c r="A755" s="113" t="s">
        <v>235</v>
      </c>
      <c r="B755" s="112" t="s">
        <v>3762</v>
      </c>
      <c r="C755" s="116" t="s">
        <v>1044</v>
      </c>
    </row>
    <row r="756" spans="1:3" ht="15">
      <c r="A756" s="113" t="s">
        <v>235</v>
      </c>
      <c r="B756" s="112" t="s">
        <v>2723</v>
      </c>
      <c r="C756" s="116" t="s">
        <v>1044</v>
      </c>
    </row>
    <row r="757" spans="1:3" ht="15">
      <c r="A757" s="113" t="s">
        <v>235</v>
      </c>
      <c r="B757" s="112" t="s">
        <v>3763</v>
      </c>
      <c r="C757" s="116" t="s">
        <v>1044</v>
      </c>
    </row>
    <row r="758" spans="1:3" ht="15">
      <c r="A758" s="113" t="s">
        <v>235</v>
      </c>
      <c r="B758" s="112" t="s">
        <v>341</v>
      </c>
      <c r="C758" s="116" t="s">
        <v>1044</v>
      </c>
    </row>
    <row r="759" spans="1:3" ht="15">
      <c r="A759" s="113" t="s">
        <v>304</v>
      </c>
      <c r="B759" s="112" t="s">
        <v>2859</v>
      </c>
      <c r="C759" s="116" t="s">
        <v>1159</v>
      </c>
    </row>
    <row r="760" spans="1:3" ht="15">
      <c r="A760" s="113" t="s">
        <v>304</v>
      </c>
      <c r="B760" s="112" t="s">
        <v>2707</v>
      </c>
      <c r="C760" s="116" t="s">
        <v>1159</v>
      </c>
    </row>
    <row r="761" spans="1:3" ht="15">
      <c r="A761" s="113" t="s">
        <v>304</v>
      </c>
      <c r="B761" s="112" t="s">
        <v>2720</v>
      </c>
      <c r="C761" s="116" t="s">
        <v>1159</v>
      </c>
    </row>
    <row r="762" spans="1:3" ht="15">
      <c r="A762" s="113" t="s">
        <v>304</v>
      </c>
      <c r="B762" s="112" t="s">
        <v>682</v>
      </c>
      <c r="C762" s="116" t="s">
        <v>1159</v>
      </c>
    </row>
    <row r="763" spans="1:3" ht="15">
      <c r="A763" s="113" t="s">
        <v>304</v>
      </c>
      <c r="B763" s="112" t="s">
        <v>318</v>
      </c>
      <c r="C763" s="116" t="s">
        <v>1159</v>
      </c>
    </row>
    <row r="764" spans="1:3" ht="15">
      <c r="A764" s="113" t="s">
        <v>223</v>
      </c>
      <c r="B764" s="112">
        <v>0</v>
      </c>
      <c r="C764" s="116" t="s">
        <v>1132</v>
      </c>
    </row>
    <row r="765" spans="1:3" ht="15">
      <c r="A765" s="113" t="s">
        <v>223</v>
      </c>
      <c r="B765" s="112" t="s">
        <v>2637</v>
      </c>
      <c r="C765" s="116" t="s">
        <v>1132</v>
      </c>
    </row>
    <row r="766" spans="1:3" ht="15">
      <c r="A766" s="113" t="s">
        <v>223</v>
      </c>
      <c r="B766" s="112" t="s">
        <v>2643</v>
      </c>
      <c r="C766" s="116" t="s">
        <v>1132</v>
      </c>
    </row>
    <row r="767" spans="1:3" ht="15">
      <c r="A767" s="113" t="s">
        <v>223</v>
      </c>
      <c r="B767" s="112" t="s">
        <v>2724</v>
      </c>
      <c r="C767" s="116" t="s">
        <v>1132</v>
      </c>
    </row>
    <row r="768" spans="1:3" ht="15">
      <c r="A768" s="113" t="s">
        <v>223</v>
      </c>
      <c r="B768" s="112" t="s">
        <v>3764</v>
      </c>
      <c r="C768" s="116" t="s">
        <v>1132</v>
      </c>
    </row>
    <row r="769" spans="1:3" ht="15">
      <c r="A769" s="113" t="s">
        <v>223</v>
      </c>
      <c r="B769" s="112" t="s">
        <v>2874</v>
      </c>
      <c r="C769" s="116" t="s">
        <v>1132</v>
      </c>
    </row>
    <row r="770" spans="1:3" ht="15">
      <c r="A770" s="113" t="s">
        <v>223</v>
      </c>
      <c r="B770" s="112">
        <v>4</v>
      </c>
      <c r="C770" s="116" t="s">
        <v>1132</v>
      </c>
    </row>
    <row r="771" spans="1:3" ht="15">
      <c r="A771" s="113" t="s">
        <v>223</v>
      </c>
      <c r="B771" s="112">
        <v>80</v>
      </c>
      <c r="C771" s="116" t="s">
        <v>1132</v>
      </c>
    </row>
    <row r="772" spans="1:3" ht="15">
      <c r="A772" s="113" t="s">
        <v>332</v>
      </c>
      <c r="B772" s="112" t="s">
        <v>2639</v>
      </c>
      <c r="C772" s="116" t="s">
        <v>1196</v>
      </c>
    </row>
    <row r="773" spans="1:3" ht="15">
      <c r="A773" s="113" t="s">
        <v>332</v>
      </c>
      <c r="B773" s="112" t="s">
        <v>2818</v>
      </c>
      <c r="C773" s="116" t="s">
        <v>1196</v>
      </c>
    </row>
    <row r="774" spans="1:3" ht="15">
      <c r="A774" s="113" t="s">
        <v>332</v>
      </c>
      <c r="B774" s="112" t="s">
        <v>3765</v>
      </c>
      <c r="C774" s="116" t="s">
        <v>1196</v>
      </c>
    </row>
    <row r="775" spans="1:3" ht="15">
      <c r="A775" s="113" t="s">
        <v>332</v>
      </c>
      <c r="B775" s="112" t="s">
        <v>3766</v>
      </c>
      <c r="C775" s="116" t="s">
        <v>1196</v>
      </c>
    </row>
    <row r="776" spans="1:3" ht="15">
      <c r="A776" s="113" t="s">
        <v>332</v>
      </c>
      <c r="B776" s="112" t="s">
        <v>2713</v>
      </c>
      <c r="C776" s="116" t="s">
        <v>1196</v>
      </c>
    </row>
    <row r="777" spans="1:3" ht="15">
      <c r="A777" s="113" t="s">
        <v>332</v>
      </c>
      <c r="B777" s="112" t="s">
        <v>2672</v>
      </c>
      <c r="C777" s="116" t="s">
        <v>1196</v>
      </c>
    </row>
    <row r="778" spans="1:3" ht="15">
      <c r="A778" s="113" t="s">
        <v>332</v>
      </c>
      <c r="B778" s="112" t="s">
        <v>2901</v>
      </c>
      <c r="C778" s="116" t="s">
        <v>1196</v>
      </c>
    </row>
    <row r="779" spans="1:3" ht="15">
      <c r="A779" s="113" t="s">
        <v>332</v>
      </c>
      <c r="B779" s="112" t="s">
        <v>2938</v>
      </c>
      <c r="C779" s="116" t="s">
        <v>1196</v>
      </c>
    </row>
    <row r="780" spans="1:3" ht="15">
      <c r="A780" s="113" t="s">
        <v>332</v>
      </c>
      <c r="B780" s="112" t="s">
        <v>2928</v>
      </c>
      <c r="C780" s="116" t="s">
        <v>1196</v>
      </c>
    </row>
    <row r="781" spans="1:3" ht="15">
      <c r="A781" s="113" t="s">
        <v>332</v>
      </c>
      <c r="B781" s="112" t="s">
        <v>2641</v>
      </c>
      <c r="C781" s="116" t="s">
        <v>1196</v>
      </c>
    </row>
    <row r="782" spans="1:3" ht="15">
      <c r="A782" s="113" t="s">
        <v>332</v>
      </c>
      <c r="B782" s="112" t="s">
        <v>3767</v>
      </c>
      <c r="C782" s="116" t="s">
        <v>1196</v>
      </c>
    </row>
    <row r="783" spans="1:3" ht="15">
      <c r="A783" s="113" t="s">
        <v>332</v>
      </c>
      <c r="B783" s="112" t="s">
        <v>3768</v>
      </c>
      <c r="C783" s="116" t="s">
        <v>1196</v>
      </c>
    </row>
    <row r="784" spans="1:3" ht="15">
      <c r="A784" s="113" t="s">
        <v>332</v>
      </c>
      <c r="B784" s="112" t="s">
        <v>3769</v>
      </c>
      <c r="C784" s="116" t="s">
        <v>1196</v>
      </c>
    </row>
    <row r="785" spans="1:3" ht="15">
      <c r="A785" s="113" t="s">
        <v>332</v>
      </c>
      <c r="B785" s="112" t="s">
        <v>3770</v>
      </c>
      <c r="C785" s="116" t="s">
        <v>1196</v>
      </c>
    </row>
    <row r="786" spans="1:3" ht="15">
      <c r="A786" s="113" t="s">
        <v>332</v>
      </c>
      <c r="B786" s="112" t="s">
        <v>3771</v>
      </c>
      <c r="C786" s="116" t="s">
        <v>1196</v>
      </c>
    </row>
    <row r="787" spans="1:3" ht="15">
      <c r="A787" s="113" t="s">
        <v>332</v>
      </c>
      <c r="B787" s="112" t="s">
        <v>3772</v>
      </c>
      <c r="C787" s="116" t="s">
        <v>1196</v>
      </c>
    </row>
    <row r="788" spans="1:3" ht="15">
      <c r="A788" s="113" t="s">
        <v>332</v>
      </c>
      <c r="B788" s="112" t="s">
        <v>3773</v>
      </c>
      <c r="C788" s="116" t="s">
        <v>1196</v>
      </c>
    </row>
    <row r="789" spans="1:3" ht="15">
      <c r="A789" s="113" t="s">
        <v>332</v>
      </c>
      <c r="B789" s="112" t="s">
        <v>2930</v>
      </c>
      <c r="C789" s="116" t="s">
        <v>1196</v>
      </c>
    </row>
    <row r="790" spans="1:3" ht="15">
      <c r="A790" s="113" t="s">
        <v>332</v>
      </c>
      <c r="B790" s="112" t="s">
        <v>2692</v>
      </c>
      <c r="C790" s="116" t="s">
        <v>1196</v>
      </c>
    </row>
    <row r="791" spans="1:3" ht="15">
      <c r="A791" s="113" t="s">
        <v>332</v>
      </c>
      <c r="B791" s="112" t="s">
        <v>2785</v>
      </c>
      <c r="C791" s="116" t="s">
        <v>1196</v>
      </c>
    </row>
    <row r="792" spans="1:3" ht="15">
      <c r="A792" s="113" t="s">
        <v>332</v>
      </c>
      <c r="B792" s="112" t="s">
        <v>2719</v>
      </c>
      <c r="C792" s="116" t="s">
        <v>1196</v>
      </c>
    </row>
    <row r="793" spans="1:3" ht="15">
      <c r="A793" s="113" t="s">
        <v>332</v>
      </c>
      <c r="B793" s="112" t="s">
        <v>3774</v>
      </c>
      <c r="C793" s="116" t="s">
        <v>1196</v>
      </c>
    </row>
    <row r="794" spans="1:3" ht="15">
      <c r="A794" s="113" t="s">
        <v>332</v>
      </c>
      <c r="B794" s="112" t="s">
        <v>2925</v>
      </c>
      <c r="C794" s="116" t="s">
        <v>1196</v>
      </c>
    </row>
    <row r="795" spans="1:3" ht="15">
      <c r="A795" s="113" t="s">
        <v>332</v>
      </c>
      <c r="B795" s="112" t="s">
        <v>2844</v>
      </c>
      <c r="C795" s="116" t="s">
        <v>1196</v>
      </c>
    </row>
    <row r="796" spans="1:3" ht="15">
      <c r="A796" s="113" t="s">
        <v>332</v>
      </c>
      <c r="B796" s="112" t="s">
        <v>2727</v>
      </c>
      <c r="C796" s="116" t="s">
        <v>1196</v>
      </c>
    </row>
    <row r="797" spans="1:3" ht="15">
      <c r="A797" s="113" t="s">
        <v>332</v>
      </c>
      <c r="B797" s="112" t="s">
        <v>3775</v>
      </c>
      <c r="C797" s="116" t="s">
        <v>1196</v>
      </c>
    </row>
    <row r="798" spans="1:3" ht="15">
      <c r="A798" s="113" t="s">
        <v>332</v>
      </c>
      <c r="B798" s="112">
        <v>0</v>
      </c>
      <c r="C798" s="116" t="s">
        <v>1196</v>
      </c>
    </row>
    <row r="799" spans="1:3" ht="15">
      <c r="A799" s="113" t="s">
        <v>332</v>
      </c>
      <c r="B799" s="112" t="s">
        <v>2380</v>
      </c>
      <c r="C799" s="116" t="s">
        <v>1196</v>
      </c>
    </row>
    <row r="800" spans="1:3" ht="15">
      <c r="A800" s="113" t="s">
        <v>332</v>
      </c>
      <c r="B800" s="112" t="s">
        <v>3776</v>
      </c>
      <c r="C800" s="116" t="s">
        <v>1196</v>
      </c>
    </row>
    <row r="801" spans="1:3" ht="15">
      <c r="A801" s="113" t="s">
        <v>332</v>
      </c>
      <c r="B801" s="112" t="s">
        <v>3777</v>
      </c>
      <c r="C801" s="116" t="s">
        <v>1196</v>
      </c>
    </row>
    <row r="802" spans="1:3" ht="15">
      <c r="A802" s="113" t="s">
        <v>332</v>
      </c>
      <c r="B802" s="112" t="s">
        <v>2703</v>
      </c>
      <c r="C802" s="116" t="s">
        <v>1196</v>
      </c>
    </row>
    <row r="803" spans="1:3" ht="15">
      <c r="A803" s="113" t="s">
        <v>329</v>
      </c>
      <c r="B803" s="112" t="s">
        <v>682</v>
      </c>
      <c r="C803" s="116" t="s">
        <v>1204</v>
      </c>
    </row>
    <row r="804" spans="1:3" ht="15">
      <c r="A804" s="113" t="s">
        <v>329</v>
      </c>
      <c r="B804" s="112" t="s">
        <v>3341</v>
      </c>
      <c r="C804" s="116" t="s">
        <v>1204</v>
      </c>
    </row>
    <row r="805" spans="1:3" ht="15">
      <c r="A805" s="113" t="s">
        <v>329</v>
      </c>
      <c r="B805" s="112" t="s">
        <v>2895</v>
      </c>
      <c r="C805" s="116" t="s">
        <v>1204</v>
      </c>
    </row>
    <row r="806" spans="1:3" ht="15">
      <c r="A806" s="113" t="s">
        <v>329</v>
      </c>
      <c r="B806" s="112" t="s">
        <v>3778</v>
      </c>
      <c r="C806" s="116" t="s">
        <v>1204</v>
      </c>
    </row>
    <row r="807" spans="1:3" ht="15">
      <c r="A807" s="113" t="s">
        <v>329</v>
      </c>
      <c r="B807" s="112" t="s">
        <v>2852</v>
      </c>
      <c r="C807" s="116" t="s">
        <v>1204</v>
      </c>
    </row>
    <row r="808" spans="1:3" ht="15">
      <c r="A808" s="113" t="s">
        <v>329</v>
      </c>
      <c r="B808" s="112" t="s">
        <v>2377</v>
      </c>
      <c r="C808" s="116" t="s">
        <v>1204</v>
      </c>
    </row>
    <row r="809" spans="1:3" ht="15">
      <c r="A809" s="113" t="s">
        <v>329</v>
      </c>
      <c r="B809" s="112" t="s">
        <v>3010</v>
      </c>
      <c r="C809" s="116" t="s">
        <v>1204</v>
      </c>
    </row>
    <row r="810" spans="1:3" ht="15">
      <c r="A810" s="113" t="s">
        <v>329</v>
      </c>
      <c r="B810" s="112" t="s">
        <v>2381</v>
      </c>
      <c r="C810" s="116" t="s">
        <v>1204</v>
      </c>
    </row>
    <row r="811" spans="1:3" ht="15">
      <c r="A811" s="113" t="s">
        <v>329</v>
      </c>
      <c r="B811" s="112" t="s">
        <v>2915</v>
      </c>
      <c r="C811" s="116" t="s">
        <v>1204</v>
      </c>
    </row>
    <row r="812" spans="1:3" ht="15">
      <c r="A812" s="113" t="s">
        <v>329</v>
      </c>
      <c r="B812" s="112" t="s">
        <v>2940</v>
      </c>
      <c r="C812" s="116" t="s">
        <v>1204</v>
      </c>
    </row>
    <row r="813" spans="1:3" ht="15">
      <c r="A813" s="113" t="s">
        <v>329</v>
      </c>
      <c r="B813" s="112" t="s">
        <v>2794</v>
      </c>
      <c r="C813" s="116" t="s">
        <v>1204</v>
      </c>
    </row>
    <row r="814" spans="1:3" ht="15">
      <c r="A814" s="113" t="s">
        <v>329</v>
      </c>
      <c r="B814" s="112" t="s">
        <v>2647</v>
      </c>
      <c r="C814" s="116" t="s">
        <v>1204</v>
      </c>
    </row>
    <row r="815" spans="1:3" ht="15">
      <c r="A815" s="113" t="s">
        <v>329</v>
      </c>
      <c r="B815" s="112" t="s">
        <v>2718</v>
      </c>
      <c r="C815" s="116" t="s">
        <v>1204</v>
      </c>
    </row>
    <row r="816" spans="1:3" ht="15">
      <c r="A816" s="113" t="s">
        <v>305</v>
      </c>
      <c r="B816" s="112" t="s">
        <v>3779</v>
      </c>
      <c r="C816" s="116" t="s">
        <v>1160</v>
      </c>
    </row>
    <row r="817" spans="1:3" ht="15">
      <c r="A817" s="113" t="s">
        <v>305</v>
      </c>
      <c r="B817" s="112" t="s">
        <v>3780</v>
      </c>
      <c r="C817" s="116" t="s">
        <v>1160</v>
      </c>
    </row>
    <row r="818" spans="1:3" ht="15">
      <c r="A818" s="113" t="s">
        <v>305</v>
      </c>
      <c r="B818" s="112" t="s">
        <v>2376</v>
      </c>
      <c r="C818" s="116" t="s">
        <v>1160</v>
      </c>
    </row>
    <row r="819" spans="1:3" ht="15">
      <c r="A819" s="113" t="s">
        <v>305</v>
      </c>
      <c r="B819" s="112" t="s">
        <v>3781</v>
      </c>
      <c r="C819" s="116" t="s">
        <v>1160</v>
      </c>
    </row>
    <row r="820" spans="1:3" ht="15">
      <c r="A820" s="113" t="s">
        <v>305</v>
      </c>
      <c r="B820" s="112" t="s">
        <v>3782</v>
      </c>
      <c r="C820" s="116" t="s">
        <v>1160</v>
      </c>
    </row>
    <row r="821" spans="1:3" ht="15">
      <c r="A821" s="113" t="s">
        <v>305</v>
      </c>
      <c r="B821" s="112" t="s">
        <v>3783</v>
      </c>
      <c r="C821" s="116" t="s">
        <v>1160</v>
      </c>
    </row>
    <row r="822" spans="1:3" ht="15">
      <c r="A822" s="113" t="s">
        <v>305</v>
      </c>
      <c r="B822" s="112" t="s">
        <v>2379</v>
      </c>
      <c r="C822" s="116" t="s">
        <v>1160</v>
      </c>
    </row>
    <row r="823" spans="1:3" ht="15">
      <c r="A823" s="113" t="s">
        <v>305</v>
      </c>
      <c r="B823" s="112" t="s">
        <v>3784</v>
      </c>
      <c r="C823" s="116" t="s">
        <v>1160</v>
      </c>
    </row>
    <row r="824" spans="1:3" ht="15">
      <c r="A824" s="113" t="s">
        <v>305</v>
      </c>
      <c r="B824" s="112" t="s">
        <v>3785</v>
      </c>
      <c r="C824" s="116" t="s">
        <v>1160</v>
      </c>
    </row>
    <row r="825" spans="1:3" ht="15">
      <c r="A825" s="113" t="s">
        <v>305</v>
      </c>
      <c r="B825" s="112" t="s">
        <v>3786</v>
      </c>
      <c r="C825" s="116" t="s">
        <v>1160</v>
      </c>
    </row>
    <row r="826" spans="1:3" ht="15">
      <c r="A826" s="113" t="s">
        <v>305</v>
      </c>
      <c r="B826" s="112" t="s">
        <v>2717</v>
      </c>
      <c r="C826" s="116" t="s">
        <v>1160</v>
      </c>
    </row>
    <row r="827" spans="1:3" ht="15">
      <c r="A827" s="113" t="s">
        <v>305</v>
      </c>
      <c r="B827" s="112" t="s">
        <v>3787</v>
      </c>
      <c r="C827" s="116" t="s">
        <v>1160</v>
      </c>
    </row>
    <row r="828" spans="1:3" ht="15">
      <c r="A828" s="113" t="s">
        <v>305</v>
      </c>
      <c r="B828" s="112" t="s">
        <v>3788</v>
      </c>
      <c r="C828" s="116" t="s">
        <v>1160</v>
      </c>
    </row>
    <row r="829" spans="1:3" ht="15">
      <c r="A829" s="113" t="s">
        <v>305</v>
      </c>
      <c r="B829" s="112" t="s">
        <v>3789</v>
      </c>
      <c r="C829" s="116" t="s">
        <v>1160</v>
      </c>
    </row>
    <row r="830" spans="1:3" ht="15">
      <c r="A830" s="113" t="s">
        <v>329</v>
      </c>
      <c r="B830" s="112" t="s">
        <v>682</v>
      </c>
      <c r="C830" s="116" t="s">
        <v>1198</v>
      </c>
    </row>
    <row r="831" spans="1:3" ht="15">
      <c r="A831" s="113" t="s">
        <v>329</v>
      </c>
      <c r="B831" s="112" t="s">
        <v>3790</v>
      </c>
      <c r="C831" s="116" t="s">
        <v>1198</v>
      </c>
    </row>
    <row r="832" spans="1:3" ht="15">
      <c r="A832" s="113" t="s">
        <v>329</v>
      </c>
      <c r="B832" s="112" t="s">
        <v>2660</v>
      </c>
      <c r="C832" s="116" t="s">
        <v>1198</v>
      </c>
    </row>
    <row r="833" spans="1:3" ht="15">
      <c r="A833" s="113" t="s">
        <v>329</v>
      </c>
      <c r="B833" s="112" t="s">
        <v>2718</v>
      </c>
      <c r="C833" s="116" t="s">
        <v>1198</v>
      </c>
    </row>
    <row r="834" spans="1:3" ht="15">
      <c r="A834" s="113" t="s">
        <v>329</v>
      </c>
      <c r="B834" s="112" t="s">
        <v>2937</v>
      </c>
      <c r="C834" s="116" t="s">
        <v>1198</v>
      </c>
    </row>
    <row r="835" spans="1:3" ht="15">
      <c r="A835" s="113" t="s">
        <v>329</v>
      </c>
      <c r="B835" s="112" t="s">
        <v>3791</v>
      </c>
      <c r="C835" s="116" t="s">
        <v>1198</v>
      </c>
    </row>
    <row r="836" spans="1:3" ht="15">
      <c r="A836" s="113" t="s">
        <v>329</v>
      </c>
      <c r="B836" s="112" t="s">
        <v>2951</v>
      </c>
      <c r="C836" s="116" t="s">
        <v>1198</v>
      </c>
    </row>
    <row r="837" spans="1:3" ht="15">
      <c r="A837" s="113" t="s">
        <v>329</v>
      </c>
      <c r="B837" s="112" t="s">
        <v>3792</v>
      </c>
      <c r="C837" s="116" t="s">
        <v>1198</v>
      </c>
    </row>
    <row r="838" spans="1:3" ht="15">
      <c r="A838" s="113" t="s">
        <v>329</v>
      </c>
      <c r="B838" s="112" t="s">
        <v>2679</v>
      </c>
      <c r="C838" s="116" t="s">
        <v>1198</v>
      </c>
    </row>
    <row r="839" spans="1:3" ht="15">
      <c r="A839" s="113" t="s">
        <v>329</v>
      </c>
      <c r="B839" s="112" t="s">
        <v>2734</v>
      </c>
      <c r="C839" s="116" t="s">
        <v>1198</v>
      </c>
    </row>
    <row r="840" spans="1:3" ht="15">
      <c r="A840" s="113" t="s">
        <v>329</v>
      </c>
      <c r="B840" s="112" t="s">
        <v>2647</v>
      </c>
      <c r="C840" s="116" t="s">
        <v>1198</v>
      </c>
    </row>
    <row r="841" spans="1:3" ht="15">
      <c r="A841" s="113" t="s">
        <v>329</v>
      </c>
      <c r="B841" s="112" t="s">
        <v>2710</v>
      </c>
      <c r="C841" s="116" t="s">
        <v>1198</v>
      </c>
    </row>
    <row r="842" spans="1:3" ht="15">
      <c r="A842" s="113" t="s">
        <v>238</v>
      </c>
      <c r="B842" s="112" t="s">
        <v>3793</v>
      </c>
      <c r="C842" s="116" t="s">
        <v>1049</v>
      </c>
    </row>
    <row r="843" spans="1:3" ht="15">
      <c r="A843" s="113" t="s">
        <v>238</v>
      </c>
      <c r="B843" s="112" t="s">
        <v>2374</v>
      </c>
      <c r="C843" s="116" t="s">
        <v>1049</v>
      </c>
    </row>
    <row r="844" spans="1:3" ht="15">
      <c r="A844" s="113" t="s">
        <v>238</v>
      </c>
      <c r="B844" s="112" t="s">
        <v>2373</v>
      </c>
      <c r="C844" s="116" t="s">
        <v>1049</v>
      </c>
    </row>
    <row r="845" spans="1:3" ht="15">
      <c r="A845" s="113" t="s">
        <v>238</v>
      </c>
      <c r="B845" s="112" t="s">
        <v>681</v>
      </c>
      <c r="C845" s="116" t="s">
        <v>1049</v>
      </c>
    </row>
    <row r="846" spans="1:3" ht="15">
      <c r="A846" s="113" t="s">
        <v>238</v>
      </c>
      <c r="B846" s="112" t="s">
        <v>335</v>
      </c>
      <c r="C846" s="116" t="s">
        <v>1049</v>
      </c>
    </row>
    <row r="847" spans="1:3" ht="15">
      <c r="A847" s="113" t="s">
        <v>246</v>
      </c>
      <c r="B847" s="112" t="s">
        <v>682</v>
      </c>
      <c r="C847" s="116" t="s">
        <v>1063</v>
      </c>
    </row>
    <row r="848" spans="1:3" ht="15">
      <c r="A848" s="113" t="s">
        <v>246</v>
      </c>
      <c r="B848" s="112" t="s">
        <v>3794</v>
      </c>
      <c r="C848" s="116" t="s">
        <v>1063</v>
      </c>
    </row>
    <row r="849" spans="1:3" ht="15">
      <c r="A849" s="113" t="s">
        <v>246</v>
      </c>
      <c r="B849" s="112" t="s">
        <v>2833</v>
      </c>
      <c r="C849" s="116" t="s">
        <v>1063</v>
      </c>
    </row>
    <row r="850" spans="1:3" ht="15">
      <c r="A850" s="113" t="s">
        <v>262</v>
      </c>
      <c r="B850" s="112" t="s">
        <v>682</v>
      </c>
      <c r="C850" s="116" t="s">
        <v>1093</v>
      </c>
    </row>
    <row r="851" spans="1:3" ht="15">
      <c r="A851" s="113" t="s">
        <v>262</v>
      </c>
      <c r="B851" s="112" t="s">
        <v>2366</v>
      </c>
      <c r="C851" s="116" t="s">
        <v>1093</v>
      </c>
    </row>
    <row r="852" spans="1:3" ht="15">
      <c r="A852" s="113" t="s">
        <v>225</v>
      </c>
      <c r="B852" s="112" t="s">
        <v>2374</v>
      </c>
      <c r="C852" s="116" t="s">
        <v>1024</v>
      </c>
    </row>
    <row r="853" spans="1:3" ht="15">
      <c r="A853" s="113" t="s">
        <v>225</v>
      </c>
      <c r="B853" s="112" t="s">
        <v>2373</v>
      </c>
      <c r="C853" s="116" t="s">
        <v>1024</v>
      </c>
    </row>
    <row r="854" spans="1:3" ht="15">
      <c r="A854" s="113" t="s">
        <v>225</v>
      </c>
      <c r="B854" s="112" t="s">
        <v>2376</v>
      </c>
      <c r="C854" s="116" t="s">
        <v>1024</v>
      </c>
    </row>
    <row r="855" spans="1:3" ht="15">
      <c r="A855" s="113" t="s">
        <v>225</v>
      </c>
      <c r="B855" s="112" t="s">
        <v>3025</v>
      </c>
      <c r="C855" s="116" t="s">
        <v>1024</v>
      </c>
    </row>
    <row r="856" spans="1:3" ht="15">
      <c r="A856" s="113" t="s">
        <v>225</v>
      </c>
      <c r="B856" s="112" t="s">
        <v>681</v>
      </c>
      <c r="C856" s="116" t="s">
        <v>1024</v>
      </c>
    </row>
    <row r="857" spans="1:3" ht="15">
      <c r="A857" s="113" t="s">
        <v>225</v>
      </c>
      <c r="B857" s="112" t="s">
        <v>3795</v>
      </c>
      <c r="C857" s="116" t="s">
        <v>1024</v>
      </c>
    </row>
    <row r="858" spans="1:3" ht="15">
      <c r="A858" s="113" t="s">
        <v>225</v>
      </c>
      <c r="B858" s="112" t="s">
        <v>3796</v>
      </c>
      <c r="C858" s="116" t="s">
        <v>1024</v>
      </c>
    </row>
    <row r="859" spans="1:3" ht="15">
      <c r="A859" s="113" t="s">
        <v>225</v>
      </c>
      <c r="B859" s="112" t="s">
        <v>3797</v>
      </c>
      <c r="C859" s="116" t="s">
        <v>1024</v>
      </c>
    </row>
    <row r="860" spans="1:3" ht="15">
      <c r="A860" s="113" t="s">
        <v>225</v>
      </c>
      <c r="B860" s="112" t="s">
        <v>2948</v>
      </c>
      <c r="C860" s="116" t="s">
        <v>1024</v>
      </c>
    </row>
    <row r="861" spans="1:3" ht="15">
      <c r="A861" s="113" t="s">
        <v>225</v>
      </c>
      <c r="B861" s="112" t="s">
        <v>2769</v>
      </c>
      <c r="C861" s="116" t="s">
        <v>1024</v>
      </c>
    </row>
    <row r="862" spans="1:3" ht="15">
      <c r="A862" s="113" t="s">
        <v>225</v>
      </c>
      <c r="B862" s="112" t="s">
        <v>2926</v>
      </c>
      <c r="C862" s="116" t="s">
        <v>1024</v>
      </c>
    </row>
    <row r="863" spans="1:3" ht="15">
      <c r="A863" s="113" t="s">
        <v>225</v>
      </c>
      <c r="B863" s="112" t="s">
        <v>356</v>
      </c>
      <c r="C863" s="116" t="s">
        <v>1024</v>
      </c>
    </row>
    <row r="864" spans="1:3" ht="15">
      <c r="A864" s="113" t="s">
        <v>225</v>
      </c>
      <c r="B864" s="112" t="s">
        <v>2707</v>
      </c>
      <c r="C864" s="116" t="s">
        <v>1024</v>
      </c>
    </row>
    <row r="865" spans="1:3" ht="15">
      <c r="A865" s="113" t="s">
        <v>225</v>
      </c>
      <c r="B865" s="112" t="s">
        <v>3798</v>
      </c>
      <c r="C865" s="116" t="s">
        <v>1024</v>
      </c>
    </row>
    <row r="866" spans="1:3" ht="15">
      <c r="A866" s="113" t="s">
        <v>225</v>
      </c>
      <c r="B866" s="112" t="s">
        <v>2378</v>
      </c>
      <c r="C866" s="116" t="s">
        <v>1024</v>
      </c>
    </row>
    <row r="867" spans="1:3" ht="15">
      <c r="A867" s="113" t="s">
        <v>225</v>
      </c>
      <c r="B867" s="112" t="s">
        <v>3799</v>
      </c>
      <c r="C867" s="116" t="s">
        <v>1024</v>
      </c>
    </row>
    <row r="868" spans="1:3" ht="15">
      <c r="A868" s="113" t="s">
        <v>225</v>
      </c>
      <c r="B868" s="112" t="s">
        <v>2787</v>
      </c>
      <c r="C868" s="116" t="s">
        <v>1024</v>
      </c>
    </row>
    <row r="869" spans="1:3" ht="15">
      <c r="A869" s="113" t="s">
        <v>225</v>
      </c>
      <c r="B869" s="112" t="s">
        <v>2791</v>
      </c>
      <c r="C869" s="116" t="s">
        <v>1024</v>
      </c>
    </row>
    <row r="870" spans="1:3" ht="15">
      <c r="A870" s="113" t="s">
        <v>225</v>
      </c>
      <c r="B870" s="112" t="s">
        <v>3800</v>
      </c>
      <c r="C870" s="116" t="s">
        <v>1024</v>
      </c>
    </row>
    <row r="871" spans="1:3" ht="15">
      <c r="A871" s="113" t="s">
        <v>225</v>
      </c>
      <c r="B871" s="112" t="s">
        <v>3801</v>
      </c>
      <c r="C871" s="116" t="s">
        <v>1024</v>
      </c>
    </row>
    <row r="872" spans="1:3" ht="15">
      <c r="A872" s="113" t="s">
        <v>225</v>
      </c>
      <c r="B872" s="112" t="s">
        <v>2966</v>
      </c>
      <c r="C872" s="116" t="s">
        <v>1024</v>
      </c>
    </row>
    <row r="873" spans="1:3" ht="15">
      <c r="A873" s="113" t="s">
        <v>225</v>
      </c>
      <c r="B873" s="112" t="s">
        <v>3802</v>
      </c>
      <c r="C873" s="116" t="s">
        <v>1024</v>
      </c>
    </row>
    <row r="874" spans="1:3" ht="15">
      <c r="A874" s="113" t="s">
        <v>225</v>
      </c>
      <c r="B874" s="112" t="s">
        <v>3803</v>
      </c>
      <c r="C874" s="116" t="s">
        <v>1024</v>
      </c>
    </row>
    <row r="875" spans="1:3" ht="15">
      <c r="A875" s="113" t="s">
        <v>225</v>
      </c>
      <c r="B875" s="112" t="s">
        <v>3804</v>
      </c>
      <c r="C875" s="116" t="s">
        <v>1024</v>
      </c>
    </row>
    <row r="876" spans="1:3" ht="15">
      <c r="A876" s="113" t="s">
        <v>225</v>
      </c>
      <c r="B876" s="112" t="s">
        <v>3805</v>
      </c>
      <c r="C876" s="116" t="s">
        <v>1024</v>
      </c>
    </row>
    <row r="877" spans="1:3" ht="15">
      <c r="A877" s="113" t="s">
        <v>225</v>
      </c>
      <c r="B877" s="112" t="s">
        <v>3806</v>
      </c>
      <c r="C877" s="116" t="s">
        <v>1024</v>
      </c>
    </row>
    <row r="878" spans="1:3" ht="15">
      <c r="A878" s="113" t="s">
        <v>225</v>
      </c>
      <c r="B878" s="112" t="s">
        <v>346</v>
      </c>
      <c r="C878" s="116" t="s">
        <v>1024</v>
      </c>
    </row>
    <row r="879" spans="1:3" ht="15">
      <c r="A879" s="113" t="s">
        <v>284</v>
      </c>
      <c r="B879" s="112" t="s">
        <v>422</v>
      </c>
      <c r="C879" s="116" t="s">
        <v>1125</v>
      </c>
    </row>
    <row r="880" spans="1:3" ht="15">
      <c r="A880" s="113" t="s">
        <v>284</v>
      </c>
      <c r="B880" s="112" t="s">
        <v>341</v>
      </c>
      <c r="C880" s="116" t="s">
        <v>1125</v>
      </c>
    </row>
    <row r="881" spans="1:3" ht="15">
      <c r="A881" s="113" t="s">
        <v>284</v>
      </c>
      <c r="B881" s="112" t="s">
        <v>407</v>
      </c>
      <c r="C881" s="116" t="s">
        <v>1125</v>
      </c>
    </row>
    <row r="882" spans="1:3" ht="15">
      <c r="A882" s="113" t="s">
        <v>284</v>
      </c>
      <c r="B882" s="112" t="s">
        <v>408</v>
      </c>
      <c r="C882" s="116" t="s">
        <v>1125</v>
      </c>
    </row>
    <row r="883" spans="1:3" ht="15">
      <c r="A883" s="113" t="s">
        <v>284</v>
      </c>
      <c r="B883" s="112" t="s">
        <v>389</v>
      </c>
      <c r="C883" s="116" t="s">
        <v>1125</v>
      </c>
    </row>
    <row r="884" spans="1:3" ht="15">
      <c r="A884" s="113" t="s">
        <v>284</v>
      </c>
      <c r="B884" s="112" t="s">
        <v>409</v>
      </c>
      <c r="C884" s="116" t="s">
        <v>1125</v>
      </c>
    </row>
    <row r="885" spans="1:3" ht="15">
      <c r="A885" s="113" t="s">
        <v>284</v>
      </c>
      <c r="B885" s="112" t="s">
        <v>2374</v>
      </c>
      <c r="C885" s="116" t="s">
        <v>1125</v>
      </c>
    </row>
    <row r="886" spans="1:3" ht="15">
      <c r="A886" s="113" t="s">
        <v>284</v>
      </c>
      <c r="B886" s="112" t="s">
        <v>2373</v>
      </c>
      <c r="C886" s="116" t="s">
        <v>1125</v>
      </c>
    </row>
    <row r="887" spans="1:3" ht="15">
      <c r="A887" s="113" t="s">
        <v>284</v>
      </c>
      <c r="B887" s="112" t="s">
        <v>681</v>
      </c>
      <c r="C887" s="116" t="s">
        <v>1125</v>
      </c>
    </row>
    <row r="888" spans="1:3" ht="15">
      <c r="A888" s="113" t="s">
        <v>284</v>
      </c>
      <c r="B888" s="112" t="s">
        <v>3807</v>
      </c>
      <c r="C888" s="116" t="s">
        <v>1125</v>
      </c>
    </row>
    <row r="889" spans="1:3" ht="15">
      <c r="A889" s="113" t="s">
        <v>284</v>
      </c>
      <c r="B889" s="112" t="s">
        <v>2796</v>
      </c>
      <c r="C889" s="116" t="s">
        <v>1125</v>
      </c>
    </row>
    <row r="890" spans="1:3" ht="15">
      <c r="A890" s="113" t="s">
        <v>284</v>
      </c>
      <c r="B890" s="112" t="s">
        <v>3000</v>
      </c>
      <c r="C890" s="116" t="s">
        <v>1125</v>
      </c>
    </row>
    <row r="891" spans="1:3" ht="15">
      <c r="A891" s="113" t="s">
        <v>284</v>
      </c>
      <c r="B891" s="112" t="s">
        <v>2377</v>
      </c>
      <c r="C891" s="116" t="s">
        <v>1125</v>
      </c>
    </row>
    <row r="892" spans="1:3" ht="15">
      <c r="A892" s="113" t="s">
        <v>284</v>
      </c>
      <c r="B892" s="112" t="s">
        <v>2379</v>
      </c>
      <c r="C892" s="116" t="s">
        <v>1125</v>
      </c>
    </row>
    <row r="893" spans="1:3" ht="15">
      <c r="A893" s="113" t="s">
        <v>284</v>
      </c>
      <c r="B893" s="112" t="s">
        <v>2677</v>
      </c>
      <c r="C893" s="116" t="s">
        <v>1125</v>
      </c>
    </row>
    <row r="894" spans="1:3" ht="15">
      <c r="A894" s="113" t="s">
        <v>284</v>
      </c>
      <c r="B894" s="112" t="s">
        <v>3808</v>
      </c>
      <c r="C894" s="116" t="s">
        <v>1125</v>
      </c>
    </row>
    <row r="895" spans="1:3" ht="15">
      <c r="A895" s="113" t="s">
        <v>284</v>
      </c>
      <c r="B895" s="112" t="s">
        <v>2874</v>
      </c>
      <c r="C895" s="116" t="s">
        <v>1125</v>
      </c>
    </row>
    <row r="896" spans="1:3" ht="15">
      <c r="A896" s="113" t="s">
        <v>284</v>
      </c>
      <c r="B896" s="112" t="s">
        <v>3809</v>
      </c>
      <c r="C896" s="116" t="s">
        <v>1125</v>
      </c>
    </row>
    <row r="897" spans="1:3" ht="15">
      <c r="A897" s="113" t="s">
        <v>284</v>
      </c>
      <c r="B897" s="112" t="s">
        <v>3810</v>
      </c>
      <c r="C897" s="116" t="s">
        <v>1125</v>
      </c>
    </row>
    <row r="898" spans="1:3" ht="15">
      <c r="A898" s="113" t="s">
        <v>284</v>
      </c>
      <c r="B898" s="112" t="s">
        <v>2678</v>
      </c>
      <c r="C898" s="116" t="s">
        <v>1125</v>
      </c>
    </row>
    <row r="899" spans="1:3" ht="15">
      <c r="A899" s="113" t="s">
        <v>284</v>
      </c>
      <c r="B899" s="112" t="s">
        <v>3811</v>
      </c>
      <c r="C899" s="116" t="s">
        <v>1125</v>
      </c>
    </row>
    <row r="900" spans="1:3" ht="15">
      <c r="A900" s="113" t="s">
        <v>284</v>
      </c>
      <c r="B900" s="112" t="s">
        <v>2929</v>
      </c>
      <c r="C900" s="116" t="s">
        <v>1125</v>
      </c>
    </row>
    <row r="901" spans="1:3" ht="15">
      <c r="A901" s="113" t="s">
        <v>284</v>
      </c>
      <c r="B901" s="112" t="s">
        <v>3812</v>
      </c>
      <c r="C901" s="116" t="s">
        <v>1125</v>
      </c>
    </row>
    <row r="902" spans="1:3" ht="15">
      <c r="A902" s="113" t="s">
        <v>284</v>
      </c>
      <c r="B902" s="112" t="s">
        <v>3813</v>
      </c>
      <c r="C902" s="116" t="s">
        <v>1125</v>
      </c>
    </row>
    <row r="903" spans="1:3" ht="15">
      <c r="A903" s="113" t="s">
        <v>284</v>
      </c>
      <c r="B903" s="112" t="s">
        <v>2758</v>
      </c>
      <c r="C903" s="116" t="s">
        <v>1125</v>
      </c>
    </row>
    <row r="904" spans="1:3" ht="15">
      <c r="A904" s="113" t="s">
        <v>284</v>
      </c>
      <c r="B904" s="112" t="s">
        <v>3814</v>
      </c>
      <c r="C904" s="116" t="s">
        <v>1125</v>
      </c>
    </row>
    <row r="905" spans="1:3" ht="15">
      <c r="A905" s="113" t="s">
        <v>284</v>
      </c>
      <c r="B905" s="112" t="s">
        <v>2757</v>
      </c>
      <c r="C905" s="116" t="s">
        <v>1125</v>
      </c>
    </row>
    <row r="906" spans="1:3" ht="15">
      <c r="A906" s="113" t="s">
        <v>284</v>
      </c>
      <c r="B906" s="112" t="s">
        <v>419</v>
      </c>
      <c r="C906" s="116" t="s">
        <v>1125</v>
      </c>
    </row>
    <row r="907" spans="1:3" ht="15">
      <c r="A907" s="113" t="s">
        <v>284</v>
      </c>
      <c r="B907" s="112" t="s">
        <v>1492</v>
      </c>
      <c r="C907" s="116" t="s">
        <v>1125</v>
      </c>
    </row>
    <row r="908" spans="1:3" ht="15">
      <c r="A908" s="113" t="s">
        <v>284</v>
      </c>
      <c r="B908" s="112" t="s">
        <v>3415</v>
      </c>
      <c r="C908" s="116" t="s">
        <v>1125</v>
      </c>
    </row>
    <row r="909" spans="1:3" ht="15">
      <c r="A909" s="113" t="s">
        <v>329</v>
      </c>
      <c r="B909" s="112" t="s">
        <v>3815</v>
      </c>
      <c r="C909" s="116" t="s">
        <v>1207</v>
      </c>
    </row>
    <row r="910" spans="1:3" ht="15">
      <c r="A910" s="113" t="s">
        <v>329</v>
      </c>
      <c r="B910" s="112" t="s">
        <v>2653</v>
      </c>
      <c r="C910" s="116" t="s">
        <v>1207</v>
      </c>
    </row>
    <row r="911" spans="1:3" ht="15">
      <c r="A911" s="113" t="s">
        <v>329</v>
      </c>
      <c r="B911" s="112" t="s">
        <v>2377</v>
      </c>
      <c r="C911" s="116" t="s">
        <v>1207</v>
      </c>
    </row>
    <row r="912" spans="1:3" ht="15">
      <c r="A912" s="113" t="s">
        <v>329</v>
      </c>
      <c r="B912" s="112" t="s">
        <v>2656</v>
      </c>
      <c r="C912" s="116" t="s">
        <v>1207</v>
      </c>
    </row>
    <row r="913" spans="1:3" ht="15">
      <c r="A913" s="113" t="s">
        <v>329</v>
      </c>
      <c r="B913" s="112" t="s">
        <v>2840</v>
      </c>
      <c r="C913" s="116" t="s">
        <v>1207</v>
      </c>
    </row>
    <row r="914" spans="1:3" ht="15">
      <c r="A914" s="113" t="s">
        <v>329</v>
      </c>
      <c r="B914" s="112" t="s">
        <v>2689</v>
      </c>
      <c r="C914" s="116" t="s">
        <v>1207</v>
      </c>
    </row>
    <row r="915" spans="1:3" ht="15">
      <c r="A915" s="113" t="s">
        <v>329</v>
      </c>
      <c r="B915" s="112" t="s">
        <v>3816</v>
      </c>
      <c r="C915" s="116" t="s">
        <v>1207</v>
      </c>
    </row>
    <row r="916" spans="1:3" ht="15">
      <c r="A916" s="113" t="s">
        <v>329</v>
      </c>
      <c r="B916" s="112" t="s">
        <v>2374</v>
      </c>
      <c r="C916" s="116" t="s">
        <v>1207</v>
      </c>
    </row>
    <row r="917" spans="1:3" ht="15">
      <c r="A917" s="113" t="s">
        <v>329</v>
      </c>
      <c r="B917" s="112" t="s">
        <v>2373</v>
      </c>
      <c r="C917" s="116" t="s">
        <v>1207</v>
      </c>
    </row>
    <row r="918" spans="1:3" ht="15">
      <c r="A918" s="113" t="s">
        <v>329</v>
      </c>
      <c r="B918" s="112" t="s">
        <v>681</v>
      </c>
      <c r="C918" s="116" t="s">
        <v>1207</v>
      </c>
    </row>
    <row r="919" spans="1:3" ht="15">
      <c r="A919" s="113" t="s">
        <v>263</v>
      </c>
      <c r="B919" s="112" t="s">
        <v>2374</v>
      </c>
      <c r="C919" s="116" t="s">
        <v>1095</v>
      </c>
    </row>
    <row r="920" spans="1:3" ht="15">
      <c r="A920" s="113" t="s">
        <v>263</v>
      </c>
      <c r="B920" s="112" t="s">
        <v>2373</v>
      </c>
      <c r="C920" s="116" t="s">
        <v>1095</v>
      </c>
    </row>
    <row r="921" spans="1:3" ht="15">
      <c r="A921" s="113" t="s">
        <v>263</v>
      </c>
      <c r="B921" s="112" t="s">
        <v>681</v>
      </c>
      <c r="C921" s="116" t="s">
        <v>1095</v>
      </c>
    </row>
    <row r="922" spans="1:3" ht="15">
      <c r="A922" s="113" t="s">
        <v>263</v>
      </c>
      <c r="B922" s="112" t="s">
        <v>2676</v>
      </c>
      <c r="C922" s="116" t="s">
        <v>1095</v>
      </c>
    </row>
    <row r="923" spans="1:3" ht="15">
      <c r="A923" s="113" t="s">
        <v>263</v>
      </c>
      <c r="B923" s="112" t="s">
        <v>3817</v>
      </c>
      <c r="C923" s="116" t="s">
        <v>1095</v>
      </c>
    </row>
    <row r="924" spans="1:3" ht="15">
      <c r="A924" s="113" t="s">
        <v>263</v>
      </c>
      <c r="B924" s="112" t="s">
        <v>2653</v>
      </c>
      <c r="C924" s="116" t="s">
        <v>1095</v>
      </c>
    </row>
    <row r="925" spans="1:3" ht="15">
      <c r="A925" s="113" t="s">
        <v>263</v>
      </c>
      <c r="B925" s="112" t="s">
        <v>3818</v>
      </c>
      <c r="C925" s="116" t="s">
        <v>1095</v>
      </c>
    </row>
    <row r="926" spans="1:3" ht="15">
      <c r="A926" s="113" t="s">
        <v>263</v>
      </c>
      <c r="B926" s="112" t="s">
        <v>2743</v>
      </c>
      <c r="C926" s="116" t="s">
        <v>1095</v>
      </c>
    </row>
    <row r="927" spans="1:3" ht="15">
      <c r="A927" s="113" t="s">
        <v>263</v>
      </c>
      <c r="B927" s="112" t="s">
        <v>3819</v>
      </c>
      <c r="C927" s="116" t="s">
        <v>1095</v>
      </c>
    </row>
    <row r="928" spans="1:3" ht="15">
      <c r="A928" s="113" t="s">
        <v>263</v>
      </c>
      <c r="B928" s="112" t="s">
        <v>3820</v>
      </c>
      <c r="C928" s="116" t="s">
        <v>1095</v>
      </c>
    </row>
    <row r="929" spans="1:3" ht="15">
      <c r="A929" s="113" t="s">
        <v>263</v>
      </c>
      <c r="B929" s="112" t="s">
        <v>2641</v>
      </c>
      <c r="C929" s="116" t="s">
        <v>1095</v>
      </c>
    </row>
    <row r="930" spans="1:3" ht="15">
      <c r="A930" s="113" t="s">
        <v>263</v>
      </c>
      <c r="B930" s="112" t="s">
        <v>3821</v>
      </c>
      <c r="C930" s="116" t="s">
        <v>1095</v>
      </c>
    </row>
    <row r="931" spans="1:3" ht="15">
      <c r="A931" s="113" t="s">
        <v>263</v>
      </c>
      <c r="B931" s="112" t="s">
        <v>2668</v>
      </c>
      <c r="C931" s="116" t="s">
        <v>1095</v>
      </c>
    </row>
    <row r="932" spans="1:3" ht="15">
      <c r="A932" s="113" t="s">
        <v>263</v>
      </c>
      <c r="B932" s="112" t="s">
        <v>3822</v>
      </c>
      <c r="C932" s="116" t="s">
        <v>1095</v>
      </c>
    </row>
    <row r="933" spans="1:3" ht="15">
      <c r="A933" s="113" t="s">
        <v>263</v>
      </c>
      <c r="B933" s="112" t="s">
        <v>2799</v>
      </c>
      <c r="C933" s="116" t="s">
        <v>1095</v>
      </c>
    </row>
    <row r="934" spans="1:3" ht="15">
      <c r="A934" s="113" t="s">
        <v>263</v>
      </c>
      <c r="B934" s="112" t="s">
        <v>328</v>
      </c>
      <c r="C934" s="116" t="s">
        <v>1095</v>
      </c>
    </row>
    <row r="935" spans="1:3" ht="15">
      <c r="A935" s="113" t="s">
        <v>302</v>
      </c>
      <c r="B935" s="112" t="s">
        <v>682</v>
      </c>
      <c r="C935" s="116" t="s">
        <v>1157</v>
      </c>
    </row>
    <row r="936" spans="1:3" ht="15">
      <c r="A936" s="113" t="s">
        <v>302</v>
      </c>
      <c r="B936" s="112" t="s">
        <v>2842</v>
      </c>
      <c r="C936" s="116" t="s">
        <v>1157</v>
      </c>
    </row>
    <row r="937" spans="1:3" ht="15">
      <c r="A937" s="113" t="s">
        <v>302</v>
      </c>
      <c r="B937" s="112" t="s">
        <v>2757</v>
      </c>
      <c r="C937" s="116" t="s">
        <v>1157</v>
      </c>
    </row>
    <row r="938" spans="1:3" ht="15">
      <c r="A938" s="113" t="s">
        <v>302</v>
      </c>
      <c r="B938" s="112" t="s">
        <v>2695</v>
      </c>
      <c r="C938" s="116" t="s">
        <v>1157</v>
      </c>
    </row>
    <row r="939" spans="1:3" ht="15">
      <c r="A939" s="113" t="s">
        <v>302</v>
      </c>
      <c r="B939" s="112" t="s">
        <v>3823</v>
      </c>
      <c r="C939" s="116" t="s">
        <v>1157</v>
      </c>
    </row>
    <row r="940" spans="1:3" ht="15">
      <c r="A940" s="113" t="s">
        <v>302</v>
      </c>
      <c r="B940" s="112" t="s">
        <v>2723</v>
      </c>
      <c r="C940" s="116" t="s">
        <v>1157</v>
      </c>
    </row>
    <row r="941" spans="1:3" ht="15">
      <c r="A941" s="113" t="s">
        <v>302</v>
      </c>
      <c r="B941" s="112" t="s">
        <v>2668</v>
      </c>
      <c r="C941" s="116" t="s">
        <v>1157</v>
      </c>
    </row>
    <row r="942" spans="1:3" ht="15">
      <c r="A942" s="113" t="s">
        <v>302</v>
      </c>
      <c r="B942" s="112" t="s">
        <v>3824</v>
      </c>
      <c r="C942" s="116" t="s">
        <v>1157</v>
      </c>
    </row>
    <row r="943" spans="1:3" ht="15">
      <c r="A943" s="113" t="s">
        <v>302</v>
      </c>
      <c r="B943" s="112" t="s">
        <v>3825</v>
      </c>
      <c r="C943" s="116" t="s">
        <v>1157</v>
      </c>
    </row>
    <row r="944" spans="1:3" ht="15">
      <c r="A944" s="113" t="s">
        <v>302</v>
      </c>
      <c r="B944" s="112" t="s">
        <v>2642</v>
      </c>
      <c r="C944" s="116" t="s">
        <v>1157</v>
      </c>
    </row>
    <row r="945" spans="1:3" ht="15">
      <c r="A945" s="113" t="s">
        <v>302</v>
      </c>
      <c r="B945" s="112" t="s">
        <v>2378</v>
      </c>
      <c r="C945" s="116" t="s">
        <v>1157</v>
      </c>
    </row>
    <row r="946" spans="1:3" ht="15">
      <c r="A946" s="113" t="s">
        <v>302</v>
      </c>
      <c r="B946" s="112" t="s">
        <v>3826</v>
      </c>
      <c r="C946" s="116" t="s">
        <v>1157</v>
      </c>
    </row>
    <row r="947" spans="1:3" ht="15">
      <c r="A947" s="113" t="s">
        <v>302</v>
      </c>
      <c r="B947" s="112" t="s">
        <v>3827</v>
      </c>
      <c r="C947" s="116" t="s">
        <v>1157</v>
      </c>
    </row>
    <row r="948" spans="1:3" ht="15">
      <c r="A948" s="113" t="s">
        <v>302</v>
      </c>
      <c r="B948" s="112" t="s">
        <v>2822</v>
      </c>
      <c r="C948" s="116" t="s">
        <v>1157</v>
      </c>
    </row>
    <row r="949" spans="1:3" ht="15">
      <c r="A949" s="113" t="s">
        <v>302</v>
      </c>
      <c r="B949" s="112" t="s">
        <v>2705</v>
      </c>
      <c r="C949" s="116" t="s">
        <v>1157</v>
      </c>
    </row>
    <row r="950" spans="1:3" ht="15">
      <c r="A950" s="113" t="s">
        <v>302</v>
      </c>
      <c r="B950" s="112" t="s">
        <v>3828</v>
      </c>
      <c r="C950" s="116" t="s">
        <v>1157</v>
      </c>
    </row>
    <row r="951" spans="1:3" ht="15">
      <c r="A951" s="113" t="s">
        <v>302</v>
      </c>
      <c r="B951" s="112" t="s">
        <v>3829</v>
      </c>
      <c r="C951" s="116" t="s">
        <v>1157</v>
      </c>
    </row>
    <row r="952" spans="1:3" ht="15">
      <c r="A952" s="113" t="s">
        <v>302</v>
      </c>
      <c r="B952" s="112" t="s">
        <v>3830</v>
      </c>
      <c r="C952" s="116" t="s">
        <v>1157</v>
      </c>
    </row>
    <row r="953" spans="1:3" ht="15">
      <c r="A953" s="113" t="s">
        <v>302</v>
      </c>
      <c r="B953" s="112" t="s">
        <v>3831</v>
      </c>
      <c r="C953" s="116" t="s">
        <v>1157</v>
      </c>
    </row>
    <row r="954" spans="1:3" ht="15">
      <c r="A954" s="113" t="s">
        <v>302</v>
      </c>
      <c r="B954" s="112" t="s">
        <v>3832</v>
      </c>
      <c r="C954" s="116" t="s">
        <v>1157</v>
      </c>
    </row>
    <row r="955" spans="1:3" ht="15">
      <c r="A955" s="113" t="s">
        <v>302</v>
      </c>
      <c r="B955" s="112" t="s">
        <v>2376</v>
      </c>
      <c r="C955" s="116" t="s">
        <v>1157</v>
      </c>
    </row>
    <row r="956" spans="1:3" ht="15">
      <c r="A956" s="113" t="s">
        <v>302</v>
      </c>
      <c r="B956" s="112" t="s">
        <v>2728</v>
      </c>
      <c r="C956" s="116" t="s">
        <v>1157</v>
      </c>
    </row>
    <row r="957" spans="1:3" ht="15">
      <c r="A957" s="113" t="s">
        <v>302</v>
      </c>
      <c r="B957" s="112" t="s">
        <v>2801</v>
      </c>
      <c r="C957" s="116" t="s">
        <v>1157</v>
      </c>
    </row>
    <row r="958" spans="1:3" ht="15">
      <c r="A958" s="113" t="s">
        <v>302</v>
      </c>
      <c r="B958" s="112" t="s">
        <v>2943</v>
      </c>
      <c r="C958" s="116" t="s">
        <v>1157</v>
      </c>
    </row>
    <row r="959" spans="1:3" ht="15">
      <c r="A959" s="113" t="s">
        <v>302</v>
      </c>
      <c r="B959" s="112" t="s">
        <v>2831</v>
      </c>
      <c r="C959" s="116" t="s">
        <v>1157</v>
      </c>
    </row>
    <row r="960" spans="1:3" ht="15">
      <c r="A960" s="113" t="s">
        <v>302</v>
      </c>
      <c r="B960" s="112" t="s">
        <v>3833</v>
      </c>
      <c r="C960" s="116" t="s">
        <v>1157</v>
      </c>
    </row>
    <row r="961" spans="1:3" ht="15">
      <c r="A961" s="113" t="s">
        <v>302</v>
      </c>
      <c r="B961" s="112" t="s">
        <v>341</v>
      </c>
      <c r="C961" s="116" t="s">
        <v>1157</v>
      </c>
    </row>
    <row r="962" spans="1:3" ht="15">
      <c r="A962" s="113" t="s">
        <v>316</v>
      </c>
      <c r="B962" s="112" t="s">
        <v>682</v>
      </c>
      <c r="C962" s="116" t="s">
        <v>1176</v>
      </c>
    </row>
    <row r="963" spans="1:3" ht="15">
      <c r="A963" s="113" t="s">
        <v>329</v>
      </c>
      <c r="B963" s="112" t="s">
        <v>705</v>
      </c>
      <c r="C963" s="116" t="s">
        <v>1200</v>
      </c>
    </row>
    <row r="964" spans="1:3" ht="15">
      <c r="A964" s="113" t="s">
        <v>329</v>
      </c>
      <c r="B964" s="112" t="s">
        <v>2658</v>
      </c>
      <c r="C964" s="116" t="s">
        <v>1200</v>
      </c>
    </row>
    <row r="965" spans="1:3" ht="15">
      <c r="A965" s="113" t="s">
        <v>329</v>
      </c>
      <c r="B965" s="112" t="s">
        <v>2912</v>
      </c>
      <c r="C965" s="116" t="s">
        <v>1200</v>
      </c>
    </row>
    <row r="966" spans="1:3" ht="15">
      <c r="A966" s="113" t="s">
        <v>329</v>
      </c>
      <c r="B966" s="112" t="s">
        <v>2644</v>
      </c>
      <c r="C966" s="116" t="s">
        <v>1200</v>
      </c>
    </row>
    <row r="967" spans="1:3" ht="15">
      <c r="A967" s="113" t="s">
        <v>329</v>
      </c>
      <c r="B967" s="112" t="s">
        <v>2638</v>
      </c>
      <c r="C967" s="116" t="s">
        <v>1200</v>
      </c>
    </row>
    <row r="968" spans="1:3" ht="15">
      <c r="A968" s="113" t="s">
        <v>329</v>
      </c>
      <c r="B968" s="112" t="s">
        <v>2979</v>
      </c>
      <c r="C968" s="116" t="s">
        <v>1200</v>
      </c>
    </row>
    <row r="969" spans="1:3" ht="15">
      <c r="A969" s="113" t="s">
        <v>329</v>
      </c>
      <c r="B969" s="112">
        <v>2024</v>
      </c>
      <c r="C969" s="116" t="s">
        <v>1200</v>
      </c>
    </row>
    <row r="970" spans="1:3" ht="15">
      <c r="A970" s="113" t="s">
        <v>329</v>
      </c>
      <c r="B970" s="112" t="s">
        <v>2374</v>
      </c>
      <c r="C970" s="116" t="s">
        <v>1200</v>
      </c>
    </row>
    <row r="971" spans="1:3" ht="15">
      <c r="A971" s="113" t="s">
        <v>329</v>
      </c>
      <c r="B971" s="112" t="s">
        <v>2373</v>
      </c>
      <c r="C971" s="116" t="s">
        <v>1200</v>
      </c>
    </row>
    <row r="972" spans="1:3" ht="15">
      <c r="A972" s="113" t="s">
        <v>329</v>
      </c>
      <c r="B972" s="112" t="s">
        <v>681</v>
      </c>
      <c r="C972" s="116" t="s">
        <v>1200</v>
      </c>
    </row>
    <row r="973" spans="1:3" ht="15">
      <c r="A973" s="113" t="s">
        <v>276</v>
      </c>
      <c r="B973" s="112" t="s">
        <v>2374</v>
      </c>
      <c r="C973" s="116" t="s">
        <v>1116</v>
      </c>
    </row>
    <row r="974" spans="1:3" ht="15">
      <c r="A974" s="113" t="s">
        <v>276</v>
      </c>
      <c r="B974" s="112" t="s">
        <v>2373</v>
      </c>
      <c r="C974" s="116" t="s">
        <v>1116</v>
      </c>
    </row>
    <row r="975" spans="1:3" ht="15">
      <c r="A975" s="113" t="s">
        <v>276</v>
      </c>
      <c r="B975" s="112" t="s">
        <v>681</v>
      </c>
      <c r="C975" s="116" t="s">
        <v>1116</v>
      </c>
    </row>
    <row r="976" spans="1:3" ht="15">
      <c r="A976" s="113" t="s">
        <v>276</v>
      </c>
      <c r="B976" s="112" t="s">
        <v>401</v>
      </c>
      <c r="C976" s="116" t="s">
        <v>1116</v>
      </c>
    </row>
    <row r="977" spans="1:3" ht="15">
      <c r="A977" s="113" t="s">
        <v>265</v>
      </c>
      <c r="B977" s="112" t="s">
        <v>2373</v>
      </c>
      <c r="C977" s="116" t="s">
        <v>1097</v>
      </c>
    </row>
    <row r="978" spans="1:3" ht="15">
      <c r="A978" s="113" t="s">
        <v>265</v>
      </c>
      <c r="B978" s="112" t="s">
        <v>2380</v>
      </c>
      <c r="C978" s="116" t="s">
        <v>1097</v>
      </c>
    </row>
    <row r="979" spans="1:3" ht="15">
      <c r="A979" s="113" t="s">
        <v>265</v>
      </c>
      <c r="B979" s="112" t="s">
        <v>3834</v>
      </c>
      <c r="C979" s="116" t="s">
        <v>1097</v>
      </c>
    </row>
    <row r="980" spans="1:3" ht="15">
      <c r="A980" s="113" t="s">
        <v>265</v>
      </c>
      <c r="B980" s="112" t="s">
        <v>2788</v>
      </c>
      <c r="C980" s="116" t="s">
        <v>1097</v>
      </c>
    </row>
    <row r="981" spans="1:3" ht="15">
      <c r="A981" s="113" t="s">
        <v>265</v>
      </c>
      <c r="B981" s="112" t="s">
        <v>3835</v>
      </c>
      <c r="C981" s="116" t="s">
        <v>1097</v>
      </c>
    </row>
    <row r="982" spans="1:3" ht="15">
      <c r="A982" s="113" t="s">
        <v>265</v>
      </c>
      <c r="B982" s="112" t="s">
        <v>2693</v>
      </c>
      <c r="C982" s="116" t="s">
        <v>1097</v>
      </c>
    </row>
    <row r="983" spans="1:3" ht="15">
      <c r="A983" s="113" t="s">
        <v>265</v>
      </c>
      <c r="B983" s="112" t="s">
        <v>2374</v>
      </c>
      <c r="C983" s="116" t="s">
        <v>1097</v>
      </c>
    </row>
    <row r="984" spans="1:3" ht="15">
      <c r="A984" s="113" t="s">
        <v>265</v>
      </c>
      <c r="B984" s="112">
        <v>0</v>
      </c>
      <c r="C984" s="116" t="s">
        <v>1097</v>
      </c>
    </row>
    <row r="985" spans="1:3" ht="15">
      <c r="A985" s="113" t="s">
        <v>265</v>
      </c>
      <c r="B985" s="112" t="s">
        <v>2956</v>
      </c>
      <c r="C985" s="116" t="s">
        <v>1097</v>
      </c>
    </row>
    <row r="986" spans="1:3" ht="15">
      <c r="A986" s="113" t="s">
        <v>265</v>
      </c>
      <c r="B986" s="112" t="s">
        <v>2866</v>
      </c>
      <c r="C986" s="116" t="s">
        <v>1097</v>
      </c>
    </row>
    <row r="987" spans="1:3" ht="15">
      <c r="A987" s="113" t="s">
        <v>265</v>
      </c>
      <c r="B987" s="112" t="s">
        <v>2641</v>
      </c>
      <c r="C987" s="116" t="s">
        <v>1097</v>
      </c>
    </row>
    <row r="988" spans="1:3" ht="15">
      <c r="A988" s="113" t="s">
        <v>265</v>
      </c>
      <c r="B988" s="112" t="s">
        <v>681</v>
      </c>
      <c r="C988" s="116" t="s">
        <v>1097</v>
      </c>
    </row>
    <row r="989" spans="1:3" ht="15">
      <c r="A989" s="113" t="s">
        <v>265</v>
      </c>
      <c r="B989" s="112" t="s">
        <v>2957</v>
      </c>
      <c r="C989" s="116" t="s">
        <v>1097</v>
      </c>
    </row>
    <row r="990" spans="1:3" ht="15">
      <c r="A990" s="113" t="s">
        <v>250</v>
      </c>
      <c r="B990" s="112" t="s">
        <v>3836</v>
      </c>
      <c r="C990" s="116" t="s">
        <v>1073</v>
      </c>
    </row>
    <row r="991" spans="1:3" ht="15">
      <c r="A991" s="113" t="s">
        <v>250</v>
      </c>
      <c r="B991" s="112" t="s">
        <v>3837</v>
      </c>
      <c r="C991" s="116" t="s">
        <v>1073</v>
      </c>
    </row>
    <row r="992" spans="1:3" ht="15">
      <c r="A992" s="113" t="s">
        <v>250</v>
      </c>
      <c r="B992" s="112" t="s">
        <v>3838</v>
      </c>
      <c r="C992" s="116" t="s">
        <v>1073</v>
      </c>
    </row>
    <row r="993" spans="1:3" ht="15">
      <c r="A993" s="113" t="s">
        <v>250</v>
      </c>
      <c r="B993" s="112" t="s">
        <v>2649</v>
      </c>
      <c r="C993" s="116" t="s">
        <v>1073</v>
      </c>
    </row>
    <row r="994" spans="1:3" ht="15">
      <c r="A994" s="113" t="s">
        <v>250</v>
      </c>
      <c r="B994" s="112" t="s">
        <v>2729</v>
      </c>
      <c r="C994" s="116" t="s">
        <v>1073</v>
      </c>
    </row>
    <row r="995" spans="1:3" ht="15">
      <c r="A995" s="113" t="s">
        <v>250</v>
      </c>
      <c r="B995" s="112" t="s">
        <v>2638</v>
      </c>
      <c r="C995" s="116" t="s">
        <v>1073</v>
      </c>
    </row>
    <row r="996" spans="1:3" ht="15">
      <c r="A996" s="113" t="s">
        <v>250</v>
      </c>
      <c r="B996" s="112" t="s">
        <v>2760</v>
      </c>
      <c r="C996" s="116" t="s">
        <v>1073</v>
      </c>
    </row>
    <row r="997" spans="1:3" ht="15">
      <c r="A997" s="113" t="s">
        <v>250</v>
      </c>
      <c r="B997" s="112" t="s">
        <v>2374</v>
      </c>
      <c r="C997" s="116" t="s">
        <v>1073</v>
      </c>
    </row>
    <row r="998" spans="1:3" ht="15">
      <c r="A998" s="113" t="s">
        <v>250</v>
      </c>
      <c r="B998" s="112" t="s">
        <v>2373</v>
      </c>
      <c r="C998" s="116" t="s">
        <v>1073</v>
      </c>
    </row>
    <row r="999" spans="1:3" ht="15">
      <c r="A999" s="113" t="s">
        <v>250</v>
      </c>
      <c r="B999" s="112" t="s">
        <v>681</v>
      </c>
      <c r="C999" s="116" t="s">
        <v>1073</v>
      </c>
    </row>
    <row r="1000" spans="1:3" ht="15">
      <c r="A1000" s="113" t="s">
        <v>250</v>
      </c>
      <c r="B1000" s="112" t="s">
        <v>371</v>
      </c>
      <c r="C1000" s="116" t="s">
        <v>1073</v>
      </c>
    </row>
    <row r="1001" spans="1:3" ht="15">
      <c r="A1001" s="113" t="s">
        <v>329</v>
      </c>
      <c r="B1001" s="112" t="s">
        <v>2374</v>
      </c>
      <c r="C1001" s="116" t="s">
        <v>1193</v>
      </c>
    </row>
    <row r="1002" spans="1:3" ht="15">
      <c r="A1002" s="113" t="s">
        <v>329</v>
      </c>
      <c r="B1002" s="112" t="s">
        <v>2373</v>
      </c>
      <c r="C1002" s="116" t="s">
        <v>1193</v>
      </c>
    </row>
    <row r="1003" spans="1:3" ht="15">
      <c r="A1003" s="113" t="s">
        <v>329</v>
      </c>
      <c r="B1003" s="112" t="s">
        <v>681</v>
      </c>
      <c r="C1003" s="116" t="s">
        <v>1193</v>
      </c>
    </row>
    <row r="1004" spans="1:3" ht="15">
      <c r="A1004" s="113" t="s">
        <v>329</v>
      </c>
      <c r="B1004" s="112" t="s">
        <v>3839</v>
      </c>
      <c r="C1004" s="116" t="s">
        <v>1193</v>
      </c>
    </row>
    <row r="1005" spans="1:3" ht="15">
      <c r="A1005" s="113" t="s">
        <v>329</v>
      </c>
      <c r="B1005" s="112" t="s">
        <v>2914</v>
      </c>
      <c r="C1005" s="116" t="s">
        <v>1193</v>
      </c>
    </row>
    <row r="1006" spans="1:3" ht="15">
      <c r="A1006" s="113" t="s">
        <v>329</v>
      </c>
      <c r="B1006" s="112" t="s">
        <v>3840</v>
      </c>
      <c r="C1006" s="116" t="s">
        <v>1193</v>
      </c>
    </row>
    <row r="1007" spans="1:3" ht="15">
      <c r="A1007" s="113" t="s">
        <v>329</v>
      </c>
      <c r="B1007" s="112" t="s">
        <v>2767</v>
      </c>
      <c r="C1007" s="116" t="s">
        <v>1193</v>
      </c>
    </row>
    <row r="1008" spans="1:3" ht="15">
      <c r="A1008" s="113" t="s">
        <v>329</v>
      </c>
      <c r="B1008" s="112" t="s">
        <v>2817</v>
      </c>
      <c r="C1008" s="116" t="s">
        <v>1193</v>
      </c>
    </row>
    <row r="1009" spans="1:3" ht="15">
      <c r="A1009" s="113" t="s">
        <v>275</v>
      </c>
      <c r="B1009" s="112" t="s">
        <v>682</v>
      </c>
      <c r="C1009" s="116" t="s">
        <v>1115</v>
      </c>
    </row>
    <row r="1010" spans="1:3" ht="15">
      <c r="A1010" s="113" t="s">
        <v>275</v>
      </c>
      <c r="B1010" s="112" t="s">
        <v>400</v>
      </c>
      <c r="C1010" s="116" t="s">
        <v>1115</v>
      </c>
    </row>
    <row r="1011" spans="1:3" ht="15">
      <c r="A1011" s="113" t="s">
        <v>333</v>
      </c>
      <c r="B1011" s="112" t="s">
        <v>3841</v>
      </c>
      <c r="C1011" s="116" t="s">
        <v>1201</v>
      </c>
    </row>
    <row r="1012" spans="1:3" ht="15">
      <c r="A1012" s="113" t="s">
        <v>333</v>
      </c>
      <c r="B1012" s="112" t="s">
        <v>3842</v>
      </c>
      <c r="C1012" s="116" t="s">
        <v>1201</v>
      </c>
    </row>
    <row r="1013" spans="1:3" ht="15">
      <c r="A1013" s="113" t="s">
        <v>333</v>
      </c>
      <c r="B1013" s="112" t="s">
        <v>3843</v>
      </c>
      <c r="C1013" s="116" t="s">
        <v>1201</v>
      </c>
    </row>
    <row r="1014" spans="1:3" ht="15">
      <c r="A1014" s="113" t="s">
        <v>333</v>
      </c>
      <c r="B1014" s="112" t="s">
        <v>2768</v>
      </c>
      <c r="C1014" s="116" t="s">
        <v>1201</v>
      </c>
    </row>
    <row r="1015" spans="1:3" ht="15">
      <c r="A1015" s="113" t="s">
        <v>333</v>
      </c>
      <c r="B1015" s="112" t="s">
        <v>3844</v>
      </c>
      <c r="C1015" s="116" t="s">
        <v>1201</v>
      </c>
    </row>
    <row r="1016" spans="1:3" ht="15">
      <c r="A1016" s="113" t="s">
        <v>333</v>
      </c>
      <c r="B1016" s="112" t="s">
        <v>3845</v>
      </c>
      <c r="C1016" s="116" t="s">
        <v>1201</v>
      </c>
    </row>
    <row r="1017" spans="1:3" ht="15">
      <c r="A1017" s="113" t="s">
        <v>333</v>
      </c>
      <c r="B1017" s="112" t="s">
        <v>2771</v>
      </c>
      <c r="C1017" s="116" t="s">
        <v>1201</v>
      </c>
    </row>
    <row r="1018" spans="1:3" ht="15">
      <c r="A1018" s="113" t="s">
        <v>333</v>
      </c>
      <c r="B1018" s="112" t="s">
        <v>2694</v>
      </c>
      <c r="C1018" s="116" t="s">
        <v>1201</v>
      </c>
    </row>
    <row r="1019" spans="1:3" ht="15">
      <c r="A1019" s="113" t="s">
        <v>333</v>
      </c>
      <c r="B1019" s="112" t="s">
        <v>3846</v>
      </c>
      <c r="C1019" s="116" t="s">
        <v>1201</v>
      </c>
    </row>
    <row r="1020" spans="1:3" ht="15">
      <c r="A1020" s="113" t="s">
        <v>333</v>
      </c>
      <c r="B1020" s="112" t="s">
        <v>2869</v>
      </c>
      <c r="C1020" s="116" t="s">
        <v>1201</v>
      </c>
    </row>
    <row r="1021" spans="1:3" ht="15">
      <c r="A1021" s="113" t="s">
        <v>333</v>
      </c>
      <c r="B1021" s="112" t="s">
        <v>2639</v>
      </c>
      <c r="C1021" s="116" t="s">
        <v>1201</v>
      </c>
    </row>
    <row r="1022" spans="1:3" ht="15">
      <c r="A1022" s="113" t="s">
        <v>333</v>
      </c>
      <c r="B1022" s="112" t="s">
        <v>3847</v>
      </c>
      <c r="C1022" s="116" t="s">
        <v>1201</v>
      </c>
    </row>
    <row r="1023" spans="1:3" ht="15">
      <c r="A1023" s="113" t="s">
        <v>333</v>
      </c>
      <c r="B1023" s="112" t="s">
        <v>2636</v>
      </c>
      <c r="C1023" s="116" t="s">
        <v>1201</v>
      </c>
    </row>
    <row r="1024" spans="1:3" ht="15">
      <c r="A1024" s="113" t="s">
        <v>333</v>
      </c>
      <c r="B1024" s="112" t="s">
        <v>2908</v>
      </c>
      <c r="C1024" s="116" t="s">
        <v>1201</v>
      </c>
    </row>
    <row r="1025" spans="1:3" ht="15">
      <c r="A1025" s="113" t="s">
        <v>333</v>
      </c>
      <c r="B1025" s="112" t="s">
        <v>3848</v>
      </c>
      <c r="C1025" s="116" t="s">
        <v>1201</v>
      </c>
    </row>
    <row r="1026" spans="1:3" ht="15">
      <c r="A1026" s="113" t="s">
        <v>333</v>
      </c>
      <c r="B1026" s="112" t="s">
        <v>2720</v>
      </c>
      <c r="C1026" s="116" t="s">
        <v>1201</v>
      </c>
    </row>
    <row r="1027" spans="1:3" ht="15">
      <c r="A1027" s="113" t="s">
        <v>333</v>
      </c>
      <c r="B1027" s="112" t="s">
        <v>2785</v>
      </c>
      <c r="C1027" s="116" t="s">
        <v>1201</v>
      </c>
    </row>
    <row r="1028" spans="1:3" ht="15">
      <c r="A1028" s="113" t="s">
        <v>333</v>
      </c>
      <c r="B1028" s="112" t="s">
        <v>2958</v>
      </c>
      <c r="C1028" s="116" t="s">
        <v>1201</v>
      </c>
    </row>
    <row r="1029" spans="1:3" ht="15">
      <c r="A1029" s="113" t="s">
        <v>333</v>
      </c>
      <c r="B1029" s="112" t="s">
        <v>2836</v>
      </c>
      <c r="C1029" s="116" t="s">
        <v>1201</v>
      </c>
    </row>
    <row r="1030" spans="1:3" ht="15">
      <c r="A1030" s="113" t="s">
        <v>333</v>
      </c>
      <c r="B1030" s="112" t="s">
        <v>3849</v>
      </c>
      <c r="C1030" s="116" t="s">
        <v>1201</v>
      </c>
    </row>
    <row r="1031" spans="1:3" ht="15">
      <c r="A1031" s="113" t="s">
        <v>333</v>
      </c>
      <c r="B1031" s="112" t="s">
        <v>2820</v>
      </c>
      <c r="C1031" s="116" t="s">
        <v>1201</v>
      </c>
    </row>
    <row r="1032" spans="1:3" ht="15">
      <c r="A1032" s="113" t="s">
        <v>333</v>
      </c>
      <c r="B1032" s="112" t="s">
        <v>3850</v>
      </c>
      <c r="C1032" s="116" t="s">
        <v>1201</v>
      </c>
    </row>
    <row r="1033" spans="1:3" ht="15">
      <c r="A1033" s="113" t="s">
        <v>333</v>
      </c>
      <c r="B1033" s="112" t="s">
        <v>2665</v>
      </c>
      <c r="C1033" s="116" t="s">
        <v>1201</v>
      </c>
    </row>
    <row r="1034" spans="1:3" ht="15">
      <c r="A1034" s="113" t="s">
        <v>333</v>
      </c>
      <c r="B1034" s="112" t="s">
        <v>2777</v>
      </c>
      <c r="C1034" s="116" t="s">
        <v>1201</v>
      </c>
    </row>
    <row r="1035" spans="1:3" ht="15">
      <c r="A1035" s="113" t="s">
        <v>333</v>
      </c>
      <c r="B1035" s="112" t="s">
        <v>2640</v>
      </c>
      <c r="C1035" s="116" t="s">
        <v>1201</v>
      </c>
    </row>
    <row r="1036" spans="1:3" ht="15">
      <c r="A1036" s="113" t="s">
        <v>333</v>
      </c>
      <c r="B1036" s="112" t="s">
        <v>3851</v>
      </c>
      <c r="C1036" s="116" t="s">
        <v>1201</v>
      </c>
    </row>
    <row r="1037" spans="1:3" ht="15">
      <c r="A1037" s="113" t="s">
        <v>333</v>
      </c>
      <c r="B1037" s="112" t="s">
        <v>3015</v>
      </c>
      <c r="C1037" s="116" t="s">
        <v>1201</v>
      </c>
    </row>
    <row r="1038" spans="1:3" ht="15">
      <c r="A1038" s="113" t="s">
        <v>333</v>
      </c>
      <c r="B1038" s="112" t="s">
        <v>2655</v>
      </c>
      <c r="C1038" s="116" t="s">
        <v>1201</v>
      </c>
    </row>
    <row r="1039" spans="1:3" ht="15">
      <c r="A1039" s="113" t="s">
        <v>333</v>
      </c>
      <c r="B1039" s="112" t="s">
        <v>2848</v>
      </c>
      <c r="C1039" s="116" t="s">
        <v>1201</v>
      </c>
    </row>
    <row r="1040" spans="1:3" ht="15">
      <c r="A1040" s="113" t="s">
        <v>333</v>
      </c>
      <c r="B1040" s="112" t="s">
        <v>2711</v>
      </c>
      <c r="C1040" s="116" t="s">
        <v>1201</v>
      </c>
    </row>
    <row r="1041" spans="1:3" ht="15">
      <c r="A1041" s="113" t="s">
        <v>333</v>
      </c>
      <c r="B1041" s="112" t="s">
        <v>2860</v>
      </c>
      <c r="C1041" s="116" t="s">
        <v>1201</v>
      </c>
    </row>
    <row r="1042" spans="1:3" ht="15">
      <c r="A1042" s="113" t="s">
        <v>333</v>
      </c>
      <c r="B1042" s="112" t="s">
        <v>2719</v>
      </c>
      <c r="C1042" s="116" t="s">
        <v>1201</v>
      </c>
    </row>
    <row r="1043" spans="1:3" ht="15">
      <c r="A1043" s="113" t="s">
        <v>249</v>
      </c>
      <c r="B1043" s="112" t="s">
        <v>682</v>
      </c>
      <c r="C1043" s="116" t="s">
        <v>1069</v>
      </c>
    </row>
    <row r="1044" spans="1:3" ht="15">
      <c r="A1044" s="113" t="s">
        <v>249</v>
      </c>
      <c r="B1044" s="112" t="s">
        <v>2681</v>
      </c>
      <c r="C1044" s="116" t="s">
        <v>1069</v>
      </c>
    </row>
    <row r="1045" spans="1:3" ht="15">
      <c r="A1045" s="113" t="s">
        <v>249</v>
      </c>
      <c r="B1045" s="112" t="s">
        <v>2795</v>
      </c>
      <c r="C1045" s="116" t="s">
        <v>1069</v>
      </c>
    </row>
    <row r="1046" spans="1:3" ht="15">
      <c r="A1046" s="113" t="s">
        <v>249</v>
      </c>
      <c r="B1046" s="112" t="s">
        <v>3852</v>
      </c>
      <c r="C1046" s="116" t="s">
        <v>1069</v>
      </c>
    </row>
    <row r="1047" spans="1:3" ht="15">
      <c r="A1047" s="113" t="s">
        <v>249</v>
      </c>
      <c r="B1047" s="112" t="s">
        <v>2674</v>
      </c>
      <c r="C1047" s="116" t="s">
        <v>1069</v>
      </c>
    </row>
    <row r="1048" spans="1:3" ht="15">
      <c r="A1048" s="113" t="s">
        <v>249</v>
      </c>
      <c r="B1048" s="112" t="s">
        <v>3853</v>
      </c>
      <c r="C1048" s="116" t="s">
        <v>1069</v>
      </c>
    </row>
    <row r="1049" spans="1:3" ht="15">
      <c r="A1049" s="113" t="s">
        <v>249</v>
      </c>
      <c r="B1049" s="112" t="s">
        <v>361</v>
      </c>
      <c r="C1049" s="116" t="s">
        <v>1069</v>
      </c>
    </row>
    <row r="1050" spans="1:3" ht="15">
      <c r="A1050" s="113" t="s">
        <v>322</v>
      </c>
      <c r="B1050" s="112" t="s">
        <v>3854</v>
      </c>
      <c r="C1050" s="116" t="s">
        <v>1183</v>
      </c>
    </row>
    <row r="1051" spans="1:3" ht="15">
      <c r="A1051" s="113" t="s">
        <v>322</v>
      </c>
      <c r="B1051" s="112" t="s">
        <v>3855</v>
      </c>
      <c r="C1051" s="116" t="s">
        <v>1183</v>
      </c>
    </row>
    <row r="1052" spans="1:3" ht="15">
      <c r="A1052" s="113" t="s">
        <v>322</v>
      </c>
      <c r="B1052" s="112" t="s">
        <v>3856</v>
      </c>
      <c r="C1052" s="116" t="s">
        <v>1183</v>
      </c>
    </row>
    <row r="1053" spans="1:3" ht="15">
      <c r="A1053" s="113" t="s">
        <v>322</v>
      </c>
      <c r="B1053" s="112" t="s">
        <v>3857</v>
      </c>
      <c r="C1053" s="116" t="s">
        <v>1183</v>
      </c>
    </row>
    <row r="1054" spans="1:3" ht="15">
      <c r="A1054" s="113" t="s">
        <v>322</v>
      </c>
      <c r="B1054" s="112" t="s">
        <v>3858</v>
      </c>
      <c r="C1054" s="116" t="s">
        <v>1183</v>
      </c>
    </row>
    <row r="1055" spans="1:3" ht="15">
      <c r="A1055" s="113" t="s">
        <v>322</v>
      </c>
      <c r="B1055" s="112" t="s">
        <v>2744</v>
      </c>
      <c r="C1055" s="116" t="s">
        <v>1183</v>
      </c>
    </row>
    <row r="1056" spans="1:3" ht="15">
      <c r="A1056" s="113" t="s">
        <v>322</v>
      </c>
      <c r="B1056" s="112" t="s">
        <v>2797</v>
      </c>
      <c r="C1056" s="116" t="s">
        <v>1183</v>
      </c>
    </row>
    <row r="1057" spans="1:3" ht="15">
      <c r="A1057" s="113" t="s">
        <v>322</v>
      </c>
      <c r="B1057" s="112" t="s">
        <v>2851</v>
      </c>
      <c r="C1057" s="116" t="s">
        <v>1183</v>
      </c>
    </row>
    <row r="1058" spans="1:3" ht="15">
      <c r="A1058" s="113" t="s">
        <v>322</v>
      </c>
      <c r="B1058" s="112" t="s">
        <v>3859</v>
      </c>
      <c r="C1058" s="116" t="s">
        <v>1183</v>
      </c>
    </row>
    <row r="1059" spans="1:3" ht="15">
      <c r="A1059" s="113" t="s">
        <v>322</v>
      </c>
      <c r="B1059" s="112" t="s">
        <v>2684</v>
      </c>
      <c r="C1059" s="116" t="s">
        <v>1183</v>
      </c>
    </row>
    <row r="1060" spans="1:3" ht="15">
      <c r="A1060" s="113" t="s">
        <v>322</v>
      </c>
      <c r="B1060" s="112" t="s">
        <v>2649</v>
      </c>
      <c r="C1060" s="116" t="s">
        <v>1183</v>
      </c>
    </row>
    <row r="1061" spans="1:3" ht="15">
      <c r="A1061" s="113" t="s">
        <v>322</v>
      </c>
      <c r="B1061" s="112" t="s">
        <v>3860</v>
      </c>
      <c r="C1061" s="116" t="s">
        <v>1183</v>
      </c>
    </row>
    <row r="1062" spans="1:3" ht="15">
      <c r="A1062" s="113" t="s">
        <v>322</v>
      </c>
      <c r="B1062" s="112" t="s">
        <v>2961</v>
      </c>
      <c r="C1062" s="116" t="s">
        <v>1183</v>
      </c>
    </row>
    <row r="1063" spans="1:3" ht="15">
      <c r="A1063" s="113" t="s">
        <v>322</v>
      </c>
      <c r="B1063" s="112" t="s">
        <v>2378</v>
      </c>
      <c r="C1063" s="116" t="s">
        <v>1183</v>
      </c>
    </row>
    <row r="1064" spans="1:3" ht="15">
      <c r="A1064" s="113" t="s">
        <v>322</v>
      </c>
      <c r="B1064" s="112" t="s">
        <v>2642</v>
      </c>
      <c r="C1064" s="116" t="s">
        <v>1183</v>
      </c>
    </row>
    <row r="1065" spans="1:3" ht="15">
      <c r="A1065" s="113" t="s">
        <v>322</v>
      </c>
      <c r="B1065" s="112" t="s">
        <v>2892</v>
      </c>
      <c r="C1065" s="116" t="s">
        <v>1183</v>
      </c>
    </row>
    <row r="1066" spans="1:3" ht="15">
      <c r="A1066" s="113" t="s">
        <v>322</v>
      </c>
      <c r="B1066" s="112" t="s">
        <v>2636</v>
      </c>
      <c r="C1066" s="116" t="s">
        <v>1183</v>
      </c>
    </row>
    <row r="1067" spans="1:3" ht="15">
      <c r="A1067" s="113" t="s">
        <v>322</v>
      </c>
      <c r="B1067" s="112" t="s">
        <v>2712</v>
      </c>
      <c r="C1067" s="116" t="s">
        <v>1183</v>
      </c>
    </row>
    <row r="1068" spans="1:3" ht="15">
      <c r="A1068" s="113" t="s">
        <v>322</v>
      </c>
      <c r="B1068" s="112" t="s">
        <v>3861</v>
      </c>
      <c r="C1068" s="116" t="s">
        <v>1183</v>
      </c>
    </row>
    <row r="1069" spans="1:3" ht="15">
      <c r="A1069" s="113" t="s">
        <v>322</v>
      </c>
      <c r="B1069" s="112" t="s">
        <v>3862</v>
      </c>
      <c r="C1069" s="116" t="s">
        <v>1183</v>
      </c>
    </row>
    <row r="1070" spans="1:3" ht="15">
      <c r="A1070" s="113" t="s">
        <v>322</v>
      </c>
      <c r="B1070" s="112" t="s">
        <v>2641</v>
      </c>
      <c r="C1070" s="116" t="s">
        <v>1183</v>
      </c>
    </row>
    <row r="1071" spans="1:3" ht="15">
      <c r="A1071" s="113" t="s">
        <v>322</v>
      </c>
      <c r="B1071" s="112" t="s">
        <v>2659</v>
      </c>
      <c r="C1071" s="116" t="s">
        <v>1183</v>
      </c>
    </row>
    <row r="1072" spans="1:3" ht="15">
      <c r="A1072" s="113" t="s">
        <v>322</v>
      </c>
      <c r="B1072" s="112" t="s">
        <v>2925</v>
      </c>
      <c r="C1072" s="116" t="s">
        <v>1183</v>
      </c>
    </row>
    <row r="1073" spans="1:3" ht="15">
      <c r="A1073" s="113" t="s">
        <v>322</v>
      </c>
      <c r="B1073" s="112" t="s">
        <v>3863</v>
      </c>
      <c r="C1073" s="116" t="s">
        <v>1183</v>
      </c>
    </row>
    <row r="1074" spans="1:3" ht="15">
      <c r="A1074" s="113" t="s">
        <v>322</v>
      </c>
      <c r="B1074" s="112" t="s">
        <v>2742</v>
      </c>
      <c r="C1074" s="116" t="s">
        <v>1183</v>
      </c>
    </row>
    <row r="1075" spans="1:3" ht="15">
      <c r="A1075" s="113" t="s">
        <v>322</v>
      </c>
      <c r="B1075" s="112" t="s">
        <v>3864</v>
      </c>
      <c r="C1075" s="116" t="s">
        <v>1183</v>
      </c>
    </row>
    <row r="1076" spans="1:3" ht="15">
      <c r="A1076" s="113" t="s">
        <v>322</v>
      </c>
      <c r="B1076" s="112" t="s">
        <v>2754</v>
      </c>
      <c r="C1076" s="116" t="s">
        <v>1183</v>
      </c>
    </row>
    <row r="1077" spans="1:3" ht="15">
      <c r="A1077" s="113" t="s">
        <v>322</v>
      </c>
      <c r="B1077" s="112" t="s">
        <v>3865</v>
      </c>
      <c r="C1077" s="116" t="s">
        <v>1183</v>
      </c>
    </row>
    <row r="1078" spans="1:3" ht="15">
      <c r="A1078" s="113" t="s">
        <v>322</v>
      </c>
      <c r="B1078" s="112" t="s">
        <v>3866</v>
      </c>
      <c r="C1078" s="116" t="s">
        <v>1183</v>
      </c>
    </row>
    <row r="1079" spans="1:3" ht="15">
      <c r="A1079" s="113" t="s">
        <v>322</v>
      </c>
      <c r="B1079" s="112" t="s">
        <v>2727</v>
      </c>
      <c r="C1079" s="116" t="s">
        <v>1183</v>
      </c>
    </row>
    <row r="1080" spans="1:3" ht="15">
      <c r="A1080" s="113" t="s">
        <v>322</v>
      </c>
      <c r="B1080" s="112" t="s">
        <v>2793</v>
      </c>
      <c r="C1080" s="116" t="s">
        <v>1183</v>
      </c>
    </row>
    <row r="1081" spans="1:3" ht="15">
      <c r="A1081" s="113" t="s">
        <v>322</v>
      </c>
      <c r="B1081" s="112">
        <v>2024</v>
      </c>
      <c r="C1081" s="116" t="s">
        <v>1183</v>
      </c>
    </row>
    <row r="1082" spans="1:3" ht="15">
      <c r="A1082" s="113" t="s">
        <v>322</v>
      </c>
      <c r="B1082" s="112">
        <v>2</v>
      </c>
      <c r="C1082" s="116" t="s">
        <v>1183</v>
      </c>
    </row>
    <row r="1083" spans="1:3" ht="15">
      <c r="A1083" s="113" t="s">
        <v>322</v>
      </c>
      <c r="B1083" s="112">
        <v>14</v>
      </c>
      <c r="C1083" s="116" t="s">
        <v>1183</v>
      </c>
    </row>
    <row r="1084" spans="1:3" ht="15">
      <c r="A1084" s="113" t="s">
        <v>322</v>
      </c>
      <c r="B1084" s="112" t="s">
        <v>3867</v>
      </c>
      <c r="C1084" s="116" t="s">
        <v>1183</v>
      </c>
    </row>
    <row r="1085" spans="1:3" ht="15">
      <c r="A1085" s="113" t="s">
        <v>322</v>
      </c>
      <c r="B1085" s="112" t="s">
        <v>2675</v>
      </c>
      <c r="C1085" s="116" t="s">
        <v>1183</v>
      </c>
    </row>
    <row r="1086" spans="1:3" ht="15">
      <c r="A1086" s="113" t="s">
        <v>322</v>
      </c>
      <c r="B1086" s="112" t="s">
        <v>2654</v>
      </c>
      <c r="C1086" s="116" t="s">
        <v>1183</v>
      </c>
    </row>
    <row r="1087" spans="1:3" ht="15">
      <c r="A1087" s="113" t="s">
        <v>322</v>
      </c>
      <c r="B1087" s="112" t="s">
        <v>3868</v>
      </c>
      <c r="C1087" s="116" t="s">
        <v>1183</v>
      </c>
    </row>
    <row r="1088" spans="1:3" ht="15">
      <c r="A1088" s="113" t="s">
        <v>322</v>
      </c>
      <c r="B1088" s="112" t="s">
        <v>3869</v>
      </c>
      <c r="C1088" s="116" t="s">
        <v>1183</v>
      </c>
    </row>
    <row r="1089" spans="1:3" ht="15">
      <c r="A1089" s="113" t="s">
        <v>322</v>
      </c>
      <c r="B1089" s="112" t="s">
        <v>2669</v>
      </c>
      <c r="C1089" s="116" t="s">
        <v>1183</v>
      </c>
    </row>
    <row r="1090" spans="1:3" ht="15">
      <c r="A1090" s="113" t="s">
        <v>329</v>
      </c>
      <c r="B1090" s="112" t="s">
        <v>3870</v>
      </c>
      <c r="C1090" s="116" t="s">
        <v>1202</v>
      </c>
    </row>
    <row r="1091" spans="1:3" ht="15">
      <c r="A1091" s="113" t="s">
        <v>329</v>
      </c>
      <c r="B1091" s="112" t="s">
        <v>2639</v>
      </c>
      <c r="C1091" s="116" t="s">
        <v>1202</v>
      </c>
    </row>
    <row r="1092" spans="1:3" ht="15">
      <c r="A1092" s="113" t="s">
        <v>329</v>
      </c>
      <c r="B1092" s="112" t="s">
        <v>2641</v>
      </c>
      <c r="C1092" s="116" t="s">
        <v>1202</v>
      </c>
    </row>
    <row r="1093" spans="1:3" ht="15">
      <c r="A1093" s="113" t="s">
        <v>329</v>
      </c>
      <c r="B1093" s="112" t="s">
        <v>2844</v>
      </c>
      <c r="C1093" s="116" t="s">
        <v>1202</v>
      </c>
    </row>
    <row r="1094" spans="1:3" ht="15">
      <c r="A1094" s="113" t="s">
        <v>329</v>
      </c>
      <c r="B1094" s="112" t="s">
        <v>3871</v>
      </c>
      <c r="C1094" s="116" t="s">
        <v>1202</v>
      </c>
    </row>
    <row r="1095" spans="1:3" ht="15">
      <c r="A1095" s="113" t="s">
        <v>329</v>
      </c>
      <c r="B1095" s="112" t="s">
        <v>3872</v>
      </c>
      <c r="C1095" s="116" t="s">
        <v>1202</v>
      </c>
    </row>
    <row r="1096" spans="1:3" ht="15">
      <c r="A1096" s="113" t="s">
        <v>329</v>
      </c>
      <c r="B1096" s="112" t="s">
        <v>2648</v>
      </c>
      <c r="C1096" s="116" t="s">
        <v>1202</v>
      </c>
    </row>
    <row r="1097" spans="1:3" ht="15">
      <c r="A1097" s="113" t="s">
        <v>329</v>
      </c>
      <c r="B1097" s="112" t="s">
        <v>2669</v>
      </c>
      <c r="C1097" s="116" t="s">
        <v>1202</v>
      </c>
    </row>
    <row r="1098" spans="1:3" ht="15">
      <c r="A1098" s="113" t="s">
        <v>329</v>
      </c>
      <c r="B1098" s="112" t="s">
        <v>3873</v>
      </c>
      <c r="C1098" s="116" t="s">
        <v>1202</v>
      </c>
    </row>
    <row r="1099" spans="1:3" ht="15">
      <c r="A1099" s="113" t="s">
        <v>329</v>
      </c>
      <c r="B1099" s="112" t="s">
        <v>2638</v>
      </c>
      <c r="C1099" s="116" t="s">
        <v>1202</v>
      </c>
    </row>
    <row r="1100" spans="1:3" ht="15">
      <c r="A1100" s="113" t="s">
        <v>329</v>
      </c>
      <c r="B1100" s="112" t="s">
        <v>3874</v>
      </c>
      <c r="C1100" s="116" t="s">
        <v>1202</v>
      </c>
    </row>
    <row r="1101" spans="1:3" ht="15">
      <c r="A1101" s="113" t="s">
        <v>329</v>
      </c>
      <c r="B1101" s="112" t="s">
        <v>2848</v>
      </c>
      <c r="C1101" s="116" t="s">
        <v>1202</v>
      </c>
    </row>
    <row r="1102" spans="1:3" ht="15">
      <c r="A1102" s="113" t="s">
        <v>329</v>
      </c>
      <c r="B1102" s="112" t="s">
        <v>2711</v>
      </c>
      <c r="C1102" s="116" t="s">
        <v>1202</v>
      </c>
    </row>
    <row r="1103" spans="1:3" ht="15">
      <c r="A1103" s="113" t="s">
        <v>329</v>
      </c>
      <c r="B1103" s="112" t="s">
        <v>2817</v>
      </c>
      <c r="C1103" s="116" t="s">
        <v>1202</v>
      </c>
    </row>
    <row r="1104" spans="1:3" ht="15">
      <c r="A1104" s="113" t="s">
        <v>329</v>
      </c>
      <c r="B1104" s="112" t="s">
        <v>3875</v>
      </c>
      <c r="C1104" s="116" t="s">
        <v>1202</v>
      </c>
    </row>
    <row r="1105" spans="1:3" ht="15">
      <c r="A1105" s="113" t="s">
        <v>329</v>
      </c>
      <c r="B1105" s="112" t="s">
        <v>2377</v>
      </c>
      <c r="C1105" s="116" t="s">
        <v>1202</v>
      </c>
    </row>
    <row r="1106" spans="1:3" ht="15">
      <c r="A1106" s="113" t="s">
        <v>329</v>
      </c>
      <c r="B1106" s="112" t="s">
        <v>2657</v>
      </c>
      <c r="C1106" s="116" t="s">
        <v>1202</v>
      </c>
    </row>
    <row r="1107" spans="1:3" ht="15">
      <c r="A1107" s="113" t="s">
        <v>329</v>
      </c>
      <c r="B1107" s="112" t="s">
        <v>2802</v>
      </c>
      <c r="C1107" s="116" t="s">
        <v>1202</v>
      </c>
    </row>
    <row r="1108" spans="1:3" ht="15">
      <c r="A1108" s="113" t="s">
        <v>329</v>
      </c>
      <c r="B1108" s="112">
        <v>2024</v>
      </c>
      <c r="C1108" s="116" t="s">
        <v>1202</v>
      </c>
    </row>
    <row r="1109" spans="1:3" ht="15">
      <c r="A1109" s="113" t="s">
        <v>329</v>
      </c>
      <c r="B1109" s="112" t="s">
        <v>2374</v>
      </c>
      <c r="C1109" s="116" t="s">
        <v>1202</v>
      </c>
    </row>
    <row r="1110" spans="1:3" ht="15">
      <c r="A1110" s="113" t="s">
        <v>329</v>
      </c>
      <c r="B1110" s="112" t="s">
        <v>2373</v>
      </c>
      <c r="C1110" s="116" t="s">
        <v>1202</v>
      </c>
    </row>
    <row r="1111" spans="1:3" ht="15">
      <c r="A1111" s="113" t="s">
        <v>329</v>
      </c>
      <c r="B1111" s="112" t="s">
        <v>681</v>
      </c>
      <c r="C1111" s="116" t="s">
        <v>1202</v>
      </c>
    </row>
    <row r="1112" spans="1:3" ht="15">
      <c r="A1112" s="113" t="s">
        <v>274</v>
      </c>
      <c r="B1112" s="112" t="s">
        <v>2374</v>
      </c>
      <c r="C1112" s="116" t="s">
        <v>1112</v>
      </c>
    </row>
    <row r="1113" spans="1:3" ht="15">
      <c r="A1113" s="113" t="s">
        <v>274</v>
      </c>
      <c r="B1113" s="112" t="s">
        <v>2645</v>
      </c>
      <c r="C1113" s="116" t="s">
        <v>1112</v>
      </c>
    </row>
    <row r="1114" spans="1:3" ht="15">
      <c r="A1114" s="113" t="s">
        <v>274</v>
      </c>
      <c r="B1114" s="112" t="s">
        <v>2373</v>
      </c>
      <c r="C1114" s="116" t="s">
        <v>1112</v>
      </c>
    </row>
    <row r="1115" spans="1:3" ht="15">
      <c r="A1115" s="113" t="s">
        <v>274</v>
      </c>
      <c r="B1115" s="112" t="s">
        <v>2376</v>
      </c>
      <c r="C1115" s="116" t="s">
        <v>1112</v>
      </c>
    </row>
    <row r="1116" spans="1:3" ht="15">
      <c r="A1116" s="113" t="s">
        <v>274</v>
      </c>
      <c r="B1116" s="112" t="s">
        <v>2671</v>
      </c>
      <c r="C1116" s="116" t="s">
        <v>1112</v>
      </c>
    </row>
    <row r="1117" spans="1:3" ht="15">
      <c r="A1117" s="113" t="s">
        <v>274</v>
      </c>
      <c r="B1117" s="112" t="s">
        <v>2688</v>
      </c>
      <c r="C1117" s="116" t="s">
        <v>1112</v>
      </c>
    </row>
    <row r="1118" spans="1:3" ht="15">
      <c r="A1118" s="113" t="s">
        <v>274</v>
      </c>
      <c r="B1118" s="112" t="s">
        <v>2663</v>
      </c>
      <c r="C1118" s="116" t="s">
        <v>1112</v>
      </c>
    </row>
    <row r="1119" spans="1:3" ht="15">
      <c r="A1119" s="113" t="s">
        <v>274</v>
      </c>
      <c r="B1119" s="112" t="s">
        <v>681</v>
      </c>
      <c r="C1119" s="116" t="s">
        <v>1112</v>
      </c>
    </row>
    <row r="1120" spans="1:3" ht="15">
      <c r="A1120" s="113" t="s">
        <v>274</v>
      </c>
      <c r="B1120" s="112" t="s">
        <v>314</v>
      </c>
      <c r="C1120" s="116" t="s">
        <v>1112</v>
      </c>
    </row>
    <row r="1121" spans="1:3" ht="15">
      <c r="A1121" s="113" t="s">
        <v>252</v>
      </c>
      <c r="B1121" s="112" t="s">
        <v>2374</v>
      </c>
      <c r="C1121" s="116" t="s">
        <v>1075</v>
      </c>
    </row>
    <row r="1122" spans="1:3" ht="15">
      <c r="A1122" s="113" t="s">
        <v>252</v>
      </c>
      <c r="B1122" s="112" t="s">
        <v>2373</v>
      </c>
      <c r="C1122" s="116" t="s">
        <v>1075</v>
      </c>
    </row>
    <row r="1123" spans="1:3" ht="15">
      <c r="A1123" s="113" t="s">
        <v>252</v>
      </c>
      <c r="B1123" s="112" t="s">
        <v>3876</v>
      </c>
      <c r="C1123" s="116" t="s">
        <v>1075</v>
      </c>
    </row>
    <row r="1124" spans="1:3" ht="15">
      <c r="A1124" s="113" t="s">
        <v>252</v>
      </c>
      <c r="B1124" s="112" t="s">
        <v>3877</v>
      </c>
      <c r="C1124" s="116" t="s">
        <v>1075</v>
      </c>
    </row>
    <row r="1125" spans="1:3" ht="15">
      <c r="A1125" s="113" t="s">
        <v>252</v>
      </c>
      <c r="B1125" s="112" t="s">
        <v>681</v>
      </c>
      <c r="C1125" s="116" t="s">
        <v>1075</v>
      </c>
    </row>
    <row r="1126" spans="1:3" ht="15">
      <c r="A1126" s="113" t="s">
        <v>252</v>
      </c>
      <c r="B1126" s="112" t="s">
        <v>3878</v>
      </c>
      <c r="C1126" s="116" t="s">
        <v>1075</v>
      </c>
    </row>
    <row r="1127" spans="1:3" ht="15">
      <c r="A1127" s="113" t="s">
        <v>252</v>
      </c>
      <c r="B1127" s="112" t="s">
        <v>2379</v>
      </c>
      <c r="C1127" s="116" t="s">
        <v>1075</v>
      </c>
    </row>
    <row r="1128" spans="1:3" ht="15">
      <c r="A1128" s="113" t="s">
        <v>252</v>
      </c>
      <c r="B1128" s="112" t="s">
        <v>2723</v>
      </c>
      <c r="C1128" s="116" t="s">
        <v>1075</v>
      </c>
    </row>
    <row r="1129" spans="1:3" ht="15">
      <c r="A1129" s="113" t="s">
        <v>252</v>
      </c>
      <c r="B1129" s="112" t="s">
        <v>3879</v>
      </c>
      <c r="C1129" s="116" t="s">
        <v>1075</v>
      </c>
    </row>
    <row r="1130" spans="1:3" ht="15">
      <c r="A1130" s="113" t="s">
        <v>252</v>
      </c>
      <c r="B1130" s="112" t="s">
        <v>314</v>
      </c>
      <c r="C1130" s="116" t="s">
        <v>1075</v>
      </c>
    </row>
    <row r="1131" spans="1:3" ht="15">
      <c r="A1131" s="113" t="s">
        <v>259</v>
      </c>
      <c r="B1131" s="112" t="s">
        <v>2773</v>
      </c>
      <c r="C1131" s="116" t="s">
        <v>1085</v>
      </c>
    </row>
    <row r="1132" spans="1:3" ht="15">
      <c r="A1132" s="113" t="s">
        <v>259</v>
      </c>
      <c r="B1132" s="112" t="s">
        <v>2715</v>
      </c>
      <c r="C1132" s="116" t="s">
        <v>1085</v>
      </c>
    </row>
    <row r="1133" spans="1:3" ht="15">
      <c r="A1133" s="113" t="s">
        <v>259</v>
      </c>
      <c r="B1133" s="112" t="s">
        <v>318</v>
      </c>
      <c r="C1133" s="116" t="s">
        <v>1085</v>
      </c>
    </row>
    <row r="1134" spans="1:3" ht="15">
      <c r="A1134" s="113" t="s">
        <v>259</v>
      </c>
      <c r="B1134" s="112" t="s">
        <v>2374</v>
      </c>
      <c r="C1134" s="116" t="s">
        <v>1085</v>
      </c>
    </row>
    <row r="1135" spans="1:3" ht="15">
      <c r="A1135" s="113" t="s">
        <v>259</v>
      </c>
      <c r="B1135" s="112" t="s">
        <v>2373</v>
      </c>
      <c r="C1135" s="116" t="s">
        <v>1085</v>
      </c>
    </row>
    <row r="1136" spans="1:3" ht="15">
      <c r="A1136" s="113" t="s">
        <v>259</v>
      </c>
      <c r="B1136" s="112" t="s">
        <v>681</v>
      </c>
      <c r="C1136" s="116" t="s">
        <v>1085</v>
      </c>
    </row>
    <row r="1137" spans="1:3" ht="15">
      <c r="A1137" s="113" t="s">
        <v>259</v>
      </c>
      <c r="B1137" s="112" t="s">
        <v>268</v>
      </c>
      <c r="C1137" s="116" t="s">
        <v>1085</v>
      </c>
    </row>
    <row r="1138" spans="1:3" ht="15">
      <c r="A1138" s="113" t="s">
        <v>259</v>
      </c>
      <c r="B1138" s="112" t="s">
        <v>377</v>
      </c>
      <c r="C1138" s="116" t="s">
        <v>1085</v>
      </c>
    </row>
    <row r="1139" spans="1:3" ht="15">
      <c r="A1139" s="113" t="s">
        <v>272</v>
      </c>
      <c r="B1139" s="112" t="s">
        <v>2374</v>
      </c>
      <c r="C1139" s="116" t="s">
        <v>1106</v>
      </c>
    </row>
    <row r="1140" spans="1:3" ht="15">
      <c r="A1140" s="113" t="s">
        <v>272</v>
      </c>
      <c r="B1140" s="112" t="s">
        <v>2373</v>
      </c>
      <c r="C1140" s="116" t="s">
        <v>1106</v>
      </c>
    </row>
    <row r="1141" spans="1:3" ht="15">
      <c r="A1141" s="113" t="s">
        <v>272</v>
      </c>
      <c r="B1141" s="112" t="s">
        <v>681</v>
      </c>
      <c r="C1141" s="116" t="s">
        <v>1106</v>
      </c>
    </row>
    <row r="1142" spans="1:3" ht="15">
      <c r="A1142" s="113" t="s">
        <v>272</v>
      </c>
      <c r="B1142" s="112" t="s">
        <v>3880</v>
      </c>
      <c r="C1142" s="116" t="s">
        <v>1106</v>
      </c>
    </row>
    <row r="1143" spans="1:3" ht="15">
      <c r="A1143" s="113" t="s">
        <v>272</v>
      </c>
      <c r="B1143" s="112" t="s">
        <v>2919</v>
      </c>
      <c r="C1143" s="116" t="s">
        <v>1106</v>
      </c>
    </row>
    <row r="1144" spans="1:3" ht="15">
      <c r="A1144" s="113" t="s">
        <v>272</v>
      </c>
      <c r="B1144" s="112" t="s">
        <v>3009</v>
      </c>
      <c r="C1144" s="116" t="s">
        <v>1106</v>
      </c>
    </row>
    <row r="1145" spans="1:3" ht="15">
      <c r="A1145" s="113" t="s">
        <v>272</v>
      </c>
      <c r="B1145" s="112" t="s">
        <v>2658</v>
      </c>
      <c r="C1145" s="116" t="s">
        <v>1106</v>
      </c>
    </row>
    <row r="1146" spans="1:3" ht="15">
      <c r="A1146" s="113" t="s">
        <v>272</v>
      </c>
      <c r="B1146" s="112" t="s">
        <v>3881</v>
      </c>
      <c r="C1146" s="116" t="s">
        <v>1106</v>
      </c>
    </row>
    <row r="1147" spans="1:3" ht="15">
      <c r="A1147" s="113" t="s">
        <v>272</v>
      </c>
      <c r="B1147" s="112" t="s">
        <v>3882</v>
      </c>
      <c r="C1147" s="116" t="s">
        <v>1106</v>
      </c>
    </row>
    <row r="1148" spans="1:3" ht="15">
      <c r="A1148" s="113" t="s">
        <v>272</v>
      </c>
      <c r="B1148" s="112" t="s">
        <v>2709</v>
      </c>
      <c r="C1148" s="116" t="s">
        <v>1106</v>
      </c>
    </row>
    <row r="1149" spans="1:3" ht="15">
      <c r="A1149" s="113" t="s">
        <v>272</v>
      </c>
      <c r="B1149" s="112" t="s">
        <v>3883</v>
      </c>
      <c r="C1149" s="116" t="s">
        <v>1106</v>
      </c>
    </row>
    <row r="1150" spans="1:3" ht="15">
      <c r="A1150" s="113" t="s">
        <v>272</v>
      </c>
      <c r="B1150" s="112" t="s">
        <v>3884</v>
      </c>
      <c r="C1150" s="116" t="s">
        <v>1106</v>
      </c>
    </row>
    <row r="1151" spans="1:3" ht="15">
      <c r="A1151" s="113" t="s">
        <v>272</v>
      </c>
      <c r="B1151" s="112" t="s">
        <v>3885</v>
      </c>
      <c r="C1151" s="116" t="s">
        <v>1106</v>
      </c>
    </row>
    <row r="1152" spans="1:3" ht="15">
      <c r="A1152" s="113" t="s">
        <v>272</v>
      </c>
      <c r="B1152" s="112" t="s">
        <v>3886</v>
      </c>
      <c r="C1152" s="116" t="s">
        <v>1106</v>
      </c>
    </row>
    <row r="1153" spans="1:3" ht="15">
      <c r="A1153" s="113" t="s">
        <v>272</v>
      </c>
      <c r="B1153" s="112" t="s">
        <v>3887</v>
      </c>
      <c r="C1153" s="116" t="s">
        <v>1106</v>
      </c>
    </row>
    <row r="1154" spans="1:3" ht="15">
      <c r="A1154" s="113" t="s">
        <v>272</v>
      </c>
      <c r="B1154" s="112" t="s">
        <v>3888</v>
      </c>
      <c r="C1154" s="116" t="s">
        <v>1106</v>
      </c>
    </row>
    <row r="1155" spans="1:3" ht="15">
      <c r="A1155" s="113" t="s">
        <v>272</v>
      </c>
      <c r="B1155" s="112" t="s">
        <v>2378</v>
      </c>
      <c r="C1155" s="116" t="s">
        <v>1106</v>
      </c>
    </row>
    <row r="1156" spans="1:3" ht="15">
      <c r="A1156" s="113" t="s">
        <v>272</v>
      </c>
      <c r="B1156" s="112" t="s">
        <v>3889</v>
      </c>
      <c r="C1156" s="116" t="s">
        <v>1106</v>
      </c>
    </row>
    <row r="1157" spans="1:3" ht="15">
      <c r="A1157" s="113" t="s">
        <v>272</v>
      </c>
      <c r="B1157" s="112" t="s">
        <v>3890</v>
      </c>
      <c r="C1157" s="116" t="s">
        <v>1106</v>
      </c>
    </row>
    <row r="1158" spans="1:3" ht="15">
      <c r="A1158" s="113" t="s">
        <v>272</v>
      </c>
      <c r="B1158" s="112" t="s">
        <v>2381</v>
      </c>
      <c r="C1158" s="116" t="s">
        <v>1106</v>
      </c>
    </row>
    <row r="1159" spans="1:3" ht="15">
      <c r="A1159" s="113" t="s">
        <v>272</v>
      </c>
      <c r="B1159" s="112" t="s">
        <v>2892</v>
      </c>
      <c r="C1159" s="116" t="s">
        <v>1106</v>
      </c>
    </row>
    <row r="1160" spans="1:3" ht="15">
      <c r="A1160" s="113" t="s">
        <v>272</v>
      </c>
      <c r="B1160" s="112" t="s">
        <v>2949</v>
      </c>
      <c r="C1160" s="116" t="s">
        <v>1106</v>
      </c>
    </row>
    <row r="1161" spans="1:3" ht="15">
      <c r="A1161" s="113" t="s">
        <v>272</v>
      </c>
      <c r="B1161" s="112" t="s">
        <v>2965</v>
      </c>
      <c r="C1161" s="116" t="s">
        <v>1106</v>
      </c>
    </row>
    <row r="1162" spans="1:3" ht="15">
      <c r="A1162" s="113" t="s">
        <v>272</v>
      </c>
      <c r="B1162" s="112" t="s">
        <v>3891</v>
      </c>
      <c r="C1162" s="116" t="s">
        <v>1106</v>
      </c>
    </row>
    <row r="1163" spans="1:3" ht="15">
      <c r="A1163" s="113" t="s">
        <v>272</v>
      </c>
      <c r="B1163" s="112" t="s">
        <v>2659</v>
      </c>
      <c r="C1163" s="116" t="s">
        <v>1106</v>
      </c>
    </row>
    <row r="1164" spans="1:3" ht="15">
      <c r="A1164" s="113" t="s">
        <v>272</v>
      </c>
      <c r="B1164" s="112" t="s">
        <v>2847</v>
      </c>
      <c r="C1164" s="116" t="s">
        <v>1106</v>
      </c>
    </row>
    <row r="1165" spans="1:3" ht="15">
      <c r="A1165" s="113" t="s">
        <v>272</v>
      </c>
      <c r="B1165" s="112" t="s">
        <v>3892</v>
      </c>
      <c r="C1165" s="116" t="s">
        <v>1106</v>
      </c>
    </row>
    <row r="1166" spans="1:3" ht="15">
      <c r="A1166" s="113" t="s">
        <v>272</v>
      </c>
      <c r="B1166" s="112" t="s">
        <v>2853</v>
      </c>
      <c r="C1166" s="116" t="s">
        <v>1106</v>
      </c>
    </row>
    <row r="1167" spans="1:3" ht="15">
      <c r="A1167" s="113" t="s">
        <v>272</v>
      </c>
      <c r="B1167" s="112" t="s">
        <v>2705</v>
      </c>
      <c r="C1167" s="116" t="s">
        <v>1106</v>
      </c>
    </row>
    <row r="1168" spans="1:3" ht="15">
      <c r="A1168" s="113" t="s">
        <v>272</v>
      </c>
      <c r="B1168" s="112" t="s">
        <v>2686</v>
      </c>
      <c r="C1168" s="116" t="s">
        <v>1106</v>
      </c>
    </row>
    <row r="1169" spans="1:3" ht="15">
      <c r="A1169" s="113" t="s">
        <v>272</v>
      </c>
      <c r="B1169" s="112" t="s">
        <v>2638</v>
      </c>
      <c r="C1169" s="116" t="s">
        <v>1106</v>
      </c>
    </row>
    <row r="1170" spans="1:3" ht="15">
      <c r="A1170" s="113" t="s">
        <v>272</v>
      </c>
      <c r="B1170" s="112">
        <v>20</v>
      </c>
      <c r="C1170" s="116" t="s">
        <v>1106</v>
      </c>
    </row>
    <row r="1171" spans="1:3" ht="15">
      <c r="A1171" s="113" t="s">
        <v>272</v>
      </c>
      <c r="B1171" s="112" t="s">
        <v>2380</v>
      </c>
      <c r="C1171" s="116" t="s">
        <v>1106</v>
      </c>
    </row>
    <row r="1172" spans="1:3" ht="15">
      <c r="A1172" s="113" t="s">
        <v>272</v>
      </c>
      <c r="B1172" s="112" t="s">
        <v>2878</v>
      </c>
      <c r="C1172" s="116" t="s">
        <v>1106</v>
      </c>
    </row>
    <row r="1173" spans="1:3" ht="15">
      <c r="A1173" s="113" t="s">
        <v>272</v>
      </c>
      <c r="B1173" s="112" t="s">
        <v>2673</v>
      </c>
      <c r="C1173" s="116" t="s">
        <v>1106</v>
      </c>
    </row>
    <row r="1174" spans="1:3" ht="15">
      <c r="A1174" s="113" t="s">
        <v>272</v>
      </c>
      <c r="B1174" s="112" t="s">
        <v>2875</v>
      </c>
      <c r="C1174" s="116" t="s">
        <v>1106</v>
      </c>
    </row>
    <row r="1175" spans="1:3" ht="15">
      <c r="A1175" s="113" t="s">
        <v>272</v>
      </c>
      <c r="B1175" s="112" t="s">
        <v>2836</v>
      </c>
      <c r="C1175" s="116" t="s">
        <v>1106</v>
      </c>
    </row>
    <row r="1176" spans="1:3" ht="15">
      <c r="A1176" s="113" t="s">
        <v>272</v>
      </c>
      <c r="B1176" s="112" t="s">
        <v>741</v>
      </c>
      <c r="C1176" s="116" t="s">
        <v>1106</v>
      </c>
    </row>
    <row r="1177" spans="1:3" ht="15">
      <c r="A1177" s="113" t="s">
        <v>310</v>
      </c>
      <c r="B1177" s="112" t="s">
        <v>3893</v>
      </c>
      <c r="C1177" s="116" t="s">
        <v>1165</v>
      </c>
    </row>
    <row r="1178" spans="1:3" ht="15">
      <c r="A1178" s="113" t="s">
        <v>310</v>
      </c>
      <c r="B1178" s="112" t="s">
        <v>2658</v>
      </c>
      <c r="C1178" s="116" t="s">
        <v>1165</v>
      </c>
    </row>
    <row r="1179" spans="1:3" ht="15">
      <c r="A1179" s="113" t="s">
        <v>310</v>
      </c>
      <c r="B1179" s="112" t="s">
        <v>3027</v>
      </c>
      <c r="C1179" s="116" t="s">
        <v>1165</v>
      </c>
    </row>
    <row r="1180" spans="1:3" ht="15">
      <c r="A1180" s="113" t="s">
        <v>310</v>
      </c>
      <c r="B1180" s="112" t="s">
        <v>2730</v>
      </c>
      <c r="C1180" s="116" t="s">
        <v>1165</v>
      </c>
    </row>
    <row r="1181" spans="1:3" ht="15">
      <c r="A1181" s="113" t="s">
        <v>310</v>
      </c>
      <c r="B1181" s="112" t="s">
        <v>2377</v>
      </c>
      <c r="C1181" s="116" t="s">
        <v>1165</v>
      </c>
    </row>
    <row r="1182" spans="1:3" ht="15">
      <c r="A1182" s="113" t="s">
        <v>310</v>
      </c>
      <c r="B1182" s="112" t="s">
        <v>2657</v>
      </c>
      <c r="C1182" s="116" t="s">
        <v>1165</v>
      </c>
    </row>
    <row r="1183" spans="1:3" ht="15">
      <c r="A1183" s="113" t="s">
        <v>310</v>
      </c>
      <c r="B1183" s="112" t="s">
        <v>3894</v>
      </c>
      <c r="C1183" s="116" t="s">
        <v>1165</v>
      </c>
    </row>
    <row r="1184" spans="1:3" ht="15">
      <c r="A1184" s="113" t="s">
        <v>310</v>
      </c>
      <c r="B1184" s="112" t="s">
        <v>2380</v>
      </c>
      <c r="C1184" s="116" t="s">
        <v>1165</v>
      </c>
    </row>
    <row r="1185" spans="1:3" ht="15">
      <c r="A1185" s="113" t="s">
        <v>310</v>
      </c>
      <c r="B1185" s="112">
        <v>0</v>
      </c>
      <c r="C1185" s="116" t="s">
        <v>1165</v>
      </c>
    </row>
    <row r="1186" spans="1:3" ht="15">
      <c r="A1186" s="113" t="s">
        <v>310</v>
      </c>
      <c r="B1186" s="112" t="s">
        <v>2963</v>
      </c>
      <c r="C1186" s="116" t="s">
        <v>1165</v>
      </c>
    </row>
    <row r="1187" spans="1:3" ht="15">
      <c r="A1187" s="113" t="s">
        <v>310</v>
      </c>
      <c r="B1187" s="112">
        <v>100</v>
      </c>
      <c r="C1187" s="116" t="s">
        <v>1165</v>
      </c>
    </row>
    <row r="1188" spans="1:3" ht="15">
      <c r="A1188" s="113" t="s">
        <v>310</v>
      </c>
      <c r="B1188" s="112" t="s">
        <v>2843</v>
      </c>
      <c r="C1188" s="116" t="s">
        <v>1165</v>
      </c>
    </row>
    <row r="1189" spans="1:3" ht="15">
      <c r="A1189" s="113" t="s">
        <v>310</v>
      </c>
      <c r="B1189" s="112" t="s">
        <v>682</v>
      </c>
      <c r="C1189" s="116" t="s">
        <v>1165</v>
      </c>
    </row>
    <row r="1190" spans="1:3" ht="15">
      <c r="A1190" s="113" t="s">
        <v>251</v>
      </c>
      <c r="B1190" s="112" t="s">
        <v>682</v>
      </c>
      <c r="C1190" s="116" t="s">
        <v>1074</v>
      </c>
    </row>
    <row r="1191" spans="1:3" ht="15">
      <c r="A1191" s="113" t="s">
        <v>251</v>
      </c>
      <c r="B1191" s="112" t="s">
        <v>318</v>
      </c>
      <c r="C1191" s="116" t="s">
        <v>1074</v>
      </c>
    </row>
    <row r="1192" spans="1:3" ht="15">
      <c r="A1192" s="113" t="s">
        <v>230</v>
      </c>
      <c r="B1192" s="112" t="s">
        <v>2374</v>
      </c>
      <c r="C1192" s="116" t="s">
        <v>1037</v>
      </c>
    </row>
    <row r="1193" spans="1:3" ht="15">
      <c r="A1193" s="113" t="s">
        <v>230</v>
      </c>
      <c r="B1193" s="112" t="s">
        <v>2645</v>
      </c>
      <c r="C1193" s="116" t="s">
        <v>1037</v>
      </c>
    </row>
    <row r="1194" spans="1:3" ht="15">
      <c r="A1194" s="113" t="s">
        <v>230</v>
      </c>
      <c r="B1194" s="112" t="s">
        <v>2373</v>
      </c>
      <c r="C1194" s="116" t="s">
        <v>1037</v>
      </c>
    </row>
    <row r="1195" spans="1:3" ht="15">
      <c r="A1195" s="113" t="s">
        <v>230</v>
      </c>
      <c r="B1195" s="112" t="s">
        <v>2671</v>
      </c>
      <c r="C1195" s="116" t="s">
        <v>1037</v>
      </c>
    </row>
    <row r="1196" spans="1:3" ht="15">
      <c r="A1196" s="113" t="s">
        <v>230</v>
      </c>
      <c r="B1196" s="112" t="s">
        <v>2688</v>
      </c>
      <c r="C1196" s="116" t="s">
        <v>1037</v>
      </c>
    </row>
    <row r="1197" spans="1:3" ht="15">
      <c r="A1197" s="113" t="s">
        <v>230</v>
      </c>
      <c r="B1197" s="112" t="s">
        <v>681</v>
      </c>
      <c r="C1197" s="116" t="s">
        <v>1037</v>
      </c>
    </row>
    <row r="1198" spans="1:3" ht="15">
      <c r="A1198" s="113" t="s">
        <v>230</v>
      </c>
      <c r="B1198" s="112" t="s">
        <v>3895</v>
      </c>
      <c r="C1198" s="116" t="s">
        <v>1037</v>
      </c>
    </row>
    <row r="1199" spans="1:3" ht="15">
      <c r="A1199" s="113" t="s">
        <v>230</v>
      </c>
      <c r="B1199" s="112" t="s">
        <v>2996</v>
      </c>
      <c r="C1199" s="116" t="s">
        <v>1037</v>
      </c>
    </row>
    <row r="1200" spans="1:3" ht="15">
      <c r="A1200" s="113" t="s">
        <v>230</v>
      </c>
      <c r="B1200" s="112" t="s">
        <v>2701</v>
      </c>
      <c r="C1200" s="116" t="s">
        <v>1037</v>
      </c>
    </row>
    <row r="1201" spans="1:3" ht="15">
      <c r="A1201" s="113" t="s">
        <v>230</v>
      </c>
      <c r="B1201" s="112" t="s">
        <v>339</v>
      </c>
      <c r="C1201" s="116" t="s">
        <v>1037</v>
      </c>
    </row>
    <row r="1202" spans="1:3" ht="15">
      <c r="A1202" s="113" t="s">
        <v>262</v>
      </c>
      <c r="B1202" s="112" t="s">
        <v>3271</v>
      </c>
      <c r="C1202" s="116" t="s">
        <v>1094</v>
      </c>
    </row>
    <row r="1203" spans="1:3" ht="15">
      <c r="A1203" s="113" t="s">
        <v>262</v>
      </c>
      <c r="B1203" s="112" t="s">
        <v>2365</v>
      </c>
      <c r="C1203" s="116" t="s">
        <v>1094</v>
      </c>
    </row>
    <row r="1204" spans="1:3" ht="15">
      <c r="A1204" s="113" t="s">
        <v>262</v>
      </c>
      <c r="B1204" s="112" t="s">
        <v>2366</v>
      </c>
      <c r="C1204" s="116" t="s">
        <v>1094</v>
      </c>
    </row>
    <row r="1205" spans="1:3" ht="15">
      <c r="A1205" s="113" t="s">
        <v>262</v>
      </c>
      <c r="B1205" s="112" t="s">
        <v>2814</v>
      </c>
      <c r="C1205" s="116" t="s">
        <v>1094</v>
      </c>
    </row>
    <row r="1206" spans="1:3" ht="15">
      <c r="A1206" s="113" t="s">
        <v>262</v>
      </c>
      <c r="B1206" s="112" t="s">
        <v>2651</v>
      </c>
      <c r="C1206" s="116" t="s">
        <v>1094</v>
      </c>
    </row>
    <row r="1207" spans="1:3" ht="15">
      <c r="A1207" s="113" t="s">
        <v>262</v>
      </c>
      <c r="B1207" s="112" t="s">
        <v>3896</v>
      </c>
      <c r="C1207" s="116" t="s">
        <v>1094</v>
      </c>
    </row>
    <row r="1208" spans="1:3" ht="15">
      <c r="A1208" s="113" t="s">
        <v>262</v>
      </c>
      <c r="B1208" s="112" t="s">
        <v>3897</v>
      </c>
      <c r="C1208" s="116" t="s">
        <v>1094</v>
      </c>
    </row>
    <row r="1209" spans="1:3" ht="15">
      <c r="A1209" s="113" t="s">
        <v>262</v>
      </c>
      <c r="B1209" s="112" t="s">
        <v>2374</v>
      </c>
      <c r="C1209" s="116" t="s">
        <v>1094</v>
      </c>
    </row>
    <row r="1210" spans="1:3" ht="15">
      <c r="A1210" s="113" t="s">
        <v>262</v>
      </c>
      <c r="B1210" s="112" t="s">
        <v>2373</v>
      </c>
      <c r="C1210" s="116" t="s">
        <v>1094</v>
      </c>
    </row>
    <row r="1211" spans="1:3" ht="15">
      <c r="A1211" s="113" t="s">
        <v>262</v>
      </c>
      <c r="B1211" s="112" t="s">
        <v>681</v>
      </c>
      <c r="C1211" s="116" t="s">
        <v>1094</v>
      </c>
    </row>
    <row r="1212" spans="1:3" ht="15">
      <c r="A1212" s="113" t="s">
        <v>259</v>
      </c>
      <c r="B1212" s="112" t="s">
        <v>2374</v>
      </c>
      <c r="C1212" s="116" t="s">
        <v>1087</v>
      </c>
    </row>
    <row r="1213" spans="1:3" ht="15">
      <c r="A1213" s="113" t="s">
        <v>259</v>
      </c>
      <c r="B1213" s="112" t="s">
        <v>2373</v>
      </c>
      <c r="C1213" s="116" t="s">
        <v>1087</v>
      </c>
    </row>
    <row r="1214" spans="1:3" ht="15">
      <c r="A1214" s="113" t="s">
        <v>259</v>
      </c>
      <c r="B1214" s="112" t="s">
        <v>681</v>
      </c>
      <c r="C1214" s="116" t="s">
        <v>1087</v>
      </c>
    </row>
    <row r="1215" spans="1:3" ht="15">
      <c r="A1215" s="113" t="s">
        <v>269</v>
      </c>
      <c r="B1215" s="112" t="s">
        <v>2374</v>
      </c>
      <c r="C1215" s="116" t="s">
        <v>1101</v>
      </c>
    </row>
    <row r="1216" spans="1:3" ht="15">
      <c r="A1216" s="113" t="s">
        <v>269</v>
      </c>
      <c r="B1216" s="112" t="s">
        <v>2373</v>
      </c>
      <c r="C1216" s="116" t="s">
        <v>1101</v>
      </c>
    </row>
    <row r="1217" spans="1:3" ht="15">
      <c r="A1217" s="113" t="s">
        <v>269</v>
      </c>
      <c r="B1217" s="112" t="s">
        <v>681</v>
      </c>
      <c r="C1217" s="116" t="s">
        <v>1101</v>
      </c>
    </row>
    <row r="1218" spans="1:3" ht="15">
      <c r="A1218" s="113" t="s">
        <v>269</v>
      </c>
      <c r="B1218" s="112" t="s">
        <v>2658</v>
      </c>
      <c r="C1218" s="116" t="s">
        <v>1101</v>
      </c>
    </row>
    <row r="1219" spans="1:3" ht="15">
      <c r="A1219" s="113" t="s">
        <v>269</v>
      </c>
      <c r="B1219" s="112" t="s">
        <v>3898</v>
      </c>
      <c r="C1219" s="116" t="s">
        <v>1101</v>
      </c>
    </row>
    <row r="1220" spans="1:3" ht="15">
      <c r="A1220" s="113" t="s">
        <v>269</v>
      </c>
      <c r="B1220" s="112" t="s">
        <v>2660</v>
      </c>
      <c r="C1220" s="116" t="s">
        <v>1101</v>
      </c>
    </row>
    <row r="1221" spans="1:3" ht="15">
      <c r="A1221" s="113" t="s">
        <v>269</v>
      </c>
      <c r="B1221" s="112" t="s">
        <v>2915</v>
      </c>
      <c r="C1221" s="116" t="s">
        <v>1101</v>
      </c>
    </row>
    <row r="1222" spans="1:3" ht="15">
      <c r="A1222" s="113" t="s">
        <v>269</v>
      </c>
      <c r="B1222" s="112" t="s">
        <v>2657</v>
      </c>
      <c r="C1222" s="116" t="s">
        <v>1101</v>
      </c>
    </row>
    <row r="1223" spans="1:3" ht="15">
      <c r="A1223" s="113" t="s">
        <v>269</v>
      </c>
      <c r="B1223" s="112" t="s">
        <v>3899</v>
      </c>
      <c r="C1223" s="116" t="s">
        <v>1101</v>
      </c>
    </row>
    <row r="1224" spans="1:3" ht="15">
      <c r="A1224" s="113" t="s">
        <v>269</v>
      </c>
      <c r="B1224" s="112" t="s">
        <v>2691</v>
      </c>
      <c r="C1224" s="116" t="s">
        <v>1101</v>
      </c>
    </row>
    <row r="1225" spans="1:3" ht="15">
      <c r="A1225" s="113" t="s">
        <v>269</v>
      </c>
      <c r="B1225" s="112">
        <v>20</v>
      </c>
      <c r="C1225" s="116" t="s">
        <v>1101</v>
      </c>
    </row>
    <row r="1226" spans="1:3" ht="15">
      <c r="A1226" s="113" t="s">
        <v>269</v>
      </c>
      <c r="B1226" s="112" t="s">
        <v>2380</v>
      </c>
      <c r="C1226" s="116" t="s">
        <v>1101</v>
      </c>
    </row>
    <row r="1227" spans="1:3" ht="15">
      <c r="A1227" s="113" t="s">
        <v>269</v>
      </c>
      <c r="B1227" s="112" t="s">
        <v>3900</v>
      </c>
      <c r="C1227" s="116" t="s">
        <v>1101</v>
      </c>
    </row>
    <row r="1228" spans="1:3" ht="15">
      <c r="A1228" s="113" t="s">
        <v>269</v>
      </c>
      <c r="B1228" s="112" t="s">
        <v>2642</v>
      </c>
      <c r="C1228" s="116" t="s">
        <v>1101</v>
      </c>
    </row>
    <row r="1229" spans="1:3" ht="15">
      <c r="A1229" s="113" t="s">
        <v>269</v>
      </c>
      <c r="B1229" s="112" t="s">
        <v>2652</v>
      </c>
      <c r="C1229" s="116" t="s">
        <v>1101</v>
      </c>
    </row>
    <row r="1230" spans="1:3" ht="15">
      <c r="A1230" s="113" t="s">
        <v>269</v>
      </c>
      <c r="B1230" s="112" t="s">
        <v>2830</v>
      </c>
      <c r="C1230" s="116" t="s">
        <v>1101</v>
      </c>
    </row>
    <row r="1231" spans="1:3" ht="15">
      <c r="A1231" s="113" t="s">
        <v>269</v>
      </c>
      <c r="B1231" s="112" t="s">
        <v>2715</v>
      </c>
      <c r="C1231" s="116" t="s">
        <v>1101</v>
      </c>
    </row>
    <row r="1232" spans="1:3" ht="15">
      <c r="A1232" s="113" t="s">
        <v>269</v>
      </c>
      <c r="B1232" s="112" t="s">
        <v>3901</v>
      </c>
      <c r="C1232" s="116" t="s">
        <v>1101</v>
      </c>
    </row>
    <row r="1233" spans="1:3" ht="15">
      <c r="A1233" s="113" t="s">
        <v>269</v>
      </c>
      <c r="B1233" s="112" t="s">
        <v>2684</v>
      </c>
      <c r="C1233" s="116" t="s">
        <v>1101</v>
      </c>
    </row>
    <row r="1234" spans="1:3" ht="15">
      <c r="A1234" s="113" t="s">
        <v>269</v>
      </c>
      <c r="B1234" s="112" t="s">
        <v>2987</v>
      </c>
      <c r="C1234" s="116" t="s">
        <v>1101</v>
      </c>
    </row>
    <row r="1235" spans="1:3" ht="15">
      <c r="A1235" s="113" t="s">
        <v>269</v>
      </c>
      <c r="B1235" s="112" t="s">
        <v>384</v>
      </c>
      <c r="C1235" s="116" t="s">
        <v>1101</v>
      </c>
    </row>
    <row r="1236" spans="1:3" ht="15">
      <c r="A1236" s="113" t="s">
        <v>269</v>
      </c>
      <c r="B1236" s="112" t="s">
        <v>385</v>
      </c>
      <c r="C1236" s="116" t="s">
        <v>1101</v>
      </c>
    </row>
    <row r="1237" spans="1:3" ht="15">
      <c r="A1237" s="113" t="s">
        <v>269</v>
      </c>
      <c r="B1237" s="112" t="s">
        <v>341</v>
      </c>
      <c r="C1237" s="116" t="s">
        <v>1101</v>
      </c>
    </row>
    <row r="1238" spans="1:3" ht="15">
      <c r="A1238" s="113" t="s">
        <v>269</v>
      </c>
      <c r="B1238" s="112" t="s">
        <v>388</v>
      </c>
      <c r="C1238" s="116" t="s">
        <v>1101</v>
      </c>
    </row>
    <row r="1239" spans="1:3" ht="15">
      <c r="A1239" s="113" t="s">
        <v>269</v>
      </c>
      <c r="B1239" s="112" t="s">
        <v>270</v>
      </c>
      <c r="C1239" s="116" t="s">
        <v>1101</v>
      </c>
    </row>
    <row r="1240" spans="1:3" ht="15">
      <c r="A1240" s="113" t="s">
        <v>269</v>
      </c>
      <c r="B1240" s="112" t="s">
        <v>389</v>
      </c>
      <c r="C1240" s="116" t="s">
        <v>1101</v>
      </c>
    </row>
    <row r="1241" spans="1:3" ht="15">
      <c r="A1241" s="113" t="s">
        <v>269</v>
      </c>
      <c r="B1241" s="112" t="s">
        <v>336</v>
      </c>
      <c r="C1241" s="116" t="s">
        <v>1101</v>
      </c>
    </row>
    <row r="1242" spans="1:3" ht="15">
      <c r="A1242" s="113" t="s">
        <v>230</v>
      </c>
      <c r="B1242" s="112" t="s">
        <v>3902</v>
      </c>
      <c r="C1242" s="116" t="s">
        <v>1035</v>
      </c>
    </row>
    <row r="1243" spans="1:3" ht="15">
      <c r="A1243" s="113" t="s">
        <v>230</v>
      </c>
      <c r="B1243" s="112" t="s">
        <v>2698</v>
      </c>
      <c r="C1243" s="116" t="s">
        <v>1035</v>
      </c>
    </row>
    <row r="1244" spans="1:3" ht="15">
      <c r="A1244" s="113" t="s">
        <v>230</v>
      </c>
      <c r="B1244" s="112" t="s">
        <v>2374</v>
      </c>
      <c r="C1244" s="116" t="s">
        <v>1035</v>
      </c>
    </row>
    <row r="1245" spans="1:3" ht="15">
      <c r="A1245" s="113" t="s">
        <v>230</v>
      </c>
      <c r="B1245" s="112" t="s">
        <v>2645</v>
      </c>
      <c r="C1245" s="116" t="s">
        <v>1035</v>
      </c>
    </row>
    <row r="1246" spans="1:3" ht="15">
      <c r="A1246" s="113" t="s">
        <v>230</v>
      </c>
      <c r="B1246" s="112" t="s">
        <v>2373</v>
      </c>
      <c r="C1246" s="116" t="s">
        <v>1035</v>
      </c>
    </row>
    <row r="1247" spans="1:3" ht="15">
      <c r="A1247" s="113" t="s">
        <v>230</v>
      </c>
      <c r="B1247" s="112" t="s">
        <v>681</v>
      </c>
      <c r="C1247" s="116" t="s">
        <v>1035</v>
      </c>
    </row>
    <row r="1248" spans="1:3" ht="15">
      <c r="A1248" s="113" t="s">
        <v>230</v>
      </c>
      <c r="B1248" s="112" t="s">
        <v>2663</v>
      </c>
      <c r="C1248" s="116" t="s">
        <v>1035</v>
      </c>
    </row>
    <row r="1249" spans="1:3" ht="15">
      <c r="A1249" s="113" t="s">
        <v>230</v>
      </c>
      <c r="B1249" s="112" t="s">
        <v>3903</v>
      </c>
      <c r="C1249" s="116" t="s">
        <v>1035</v>
      </c>
    </row>
    <row r="1250" spans="1:3" ht="15">
      <c r="A1250" s="113" t="s">
        <v>230</v>
      </c>
      <c r="B1250" s="112" t="s">
        <v>2739</v>
      </c>
      <c r="C1250" s="116" t="s">
        <v>1035</v>
      </c>
    </row>
    <row r="1251" spans="1:3" ht="15">
      <c r="A1251" s="113" t="s">
        <v>230</v>
      </c>
      <c r="B1251" s="112" t="s">
        <v>3904</v>
      </c>
      <c r="C1251" s="116" t="s">
        <v>1035</v>
      </c>
    </row>
    <row r="1252" spans="1:3" ht="15">
      <c r="A1252" s="113" t="s">
        <v>230</v>
      </c>
      <c r="B1252" s="112" t="s">
        <v>2906</v>
      </c>
      <c r="C1252" s="116" t="s">
        <v>1035</v>
      </c>
    </row>
    <row r="1253" spans="1:3" ht="15">
      <c r="A1253" s="113" t="s">
        <v>230</v>
      </c>
      <c r="B1253" s="112" t="s">
        <v>3905</v>
      </c>
      <c r="C1253" s="116" t="s">
        <v>1035</v>
      </c>
    </row>
    <row r="1254" spans="1:3" ht="15">
      <c r="A1254" s="113" t="s">
        <v>230</v>
      </c>
      <c r="B1254" s="112" t="s">
        <v>3906</v>
      </c>
      <c r="C1254" s="116" t="s">
        <v>1035</v>
      </c>
    </row>
    <row r="1255" spans="1:3" ht="15">
      <c r="A1255" s="113" t="s">
        <v>230</v>
      </c>
      <c r="B1255" s="112" t="s">
        <v>2756</v>
      </c>
      <c r="C1255" s="116" t="s">
        <v>1035</v>
      </c>
    </row>
    <row r="1256" spans="1:3" ht="15">
      <c r="A1256" s="113" t="s">
        <v>230</v>
      </c>
      <c r="B1256" s="112" t="s">
        <v>3907</v>
      </c>
      <c r="C1256" s="116" t="s">
        <v>1035</v>
      </c>
    </row>
    <row r="1257" spans="1:3" ht="15">
      <c r="A1257" s="113" t="s">
        <v>230</v>
      </c>
      <c r="B1257" s="112" t="s">
        <v>3908</v>
      </c>
      <c r="C1257" s="116" t="s">
        <v>1035</v>
      </c>
    </row>
    <row r="1258" spans="1:3" ht="15">
      <c r="A1258" s="113" t="s">
        <v>230</v>
      </c>
      <c r="B1258" s="112" t="s">
        <v>2947</v>
      </c>
      <c r="C1258" s="116" t="s">
        <v>1035</v>
      </c>
    </row>
    <row r="1259" spans="1:3" ht="15">
      <c r="A1259" s="113" t="s">
        <v>230</v>
      </c>
      <c r="B1259" s="112" t="s">
        <v>2763</v>
      </c>
      <c r="C1259" s="116" t="s">
        <v>1035</v>
      </c>
    </row>
    <row r="1260" spans="1:3" ht="15">
      <c r="A1260" s="113" t="s">
        <v>230</v>
      </c>
      <c r="B1260" s="112" t="s">
        <v>2773</v>
      </c>
      <c r="C1260" s="116" t="s">
        <v>1035</v>
      </c>
    </row>
    <row r="1261" spans="1:3" ht="15">
      <c r="A1261" s="113" t="s">
        <v>230</v>
      </c>
      <c r="B1261" s="112" t="s">
        <v>2377</v>
      </c>
      <c r="C1261" s="116" t="s">
        <v>1035</v>
      </c>
    </row>
    <row r="1262" spans="1:3" ht="15">
      <c r="A1262" s="113" t="s">
        <v>230</v>
      </c>
      <c r="B1262" s="112" t="s">
        <v>2665</v>
      </c>
      <c r="C1262" s="116" t="s">
        <v>1035</v>
      </c>
    </row>
    <row r="1263" spans="1:3" ht="15">
      <c r="A1263" s="113" t="s">
        <v>230</v>
      </c>
      <c r="B1263" s="112" t="s">
        <v>2816</v>
      </c>
      <c r="C1263" s="116" t="s">
        <v>1035</v>
      </c>
    </row>
    <row r="1264" spans="1:3" ht="15">
      <c r="A1264" s="113" t="s">
        <v>230</v>
      </c>
      <c r="B1264" s="112" t="s">
        <v>2850</v>
      </c>
      <c r="C1264" s="116" t="s">
        <v>1035</v>
      </c>
    </row>
    <row r="1265" spans="1:3" ht="15">
      <c r="A1265" s="113" t="s">
        <v>230</v>
      </c>
      <c r="B1265" s="112" t="s">
        <v>2964</v>
      </c>
      <c r="C1265" s="116" t="s">
        <v>1035</v>
      </c>
    </row>
    <row r="1266" spans="1:3" ht="15">
      <c r="A1266" s="113" t="s">
        <v>230</v>
      </c>
      <c r="B1266" s="112" t="s">
        <v>2376</v>
      </c>
      <c r="C1266" s="116" t="s">
        <v>1035</v>
      </c>
    </row>
    <row r="1267" spans="1:3" ht="15">
      <c r="A1267" s="113" t="s">
        <v>230</v>
      </c>
      <c r="B1267" s="112" t="s">
        <v>2791</v>
      </c>
      <c r="C1267" s="116" t="s">
        <v>1035</v>
      </c>
    </row>
    <row r="1268" spans="1:3" ht="15">
      <c r="A1268" s="113" t="s">
        <v>230</v>
      </c>
      <c r="B1268" s="112" t="s">
        <v>2700</v>
      </c>
      <c r="C1268" s="116" t="s">
        <v>1035</v>
      </c>
    </row>
    <row r="1269" spans="1:3" ht="15">
      <c r="A1269" s="113" t="s">
        <v>230</v>
      </c>
      <c r="B1269" s="112" t="s">
        <v>2810</v>
      </c>
      <c r="C1269" s="116" t="s">
        <v>1035</v>
      </c>
    </row>
    <row r="1270" spans="1:3" ht="15">
      <c r="A1270" s="113" t="s">
        <v>230</v>
      </c>
      <c r="B1270" s="112" t="s">
        <v>2757</v>
      </c>
      <c r="C1270" s="116" t="s">
        <v>1035</v>
      </c>
    </row>
    <row r="1271" spans="1:3" ht="15">
      <c r="A1271" s="113" t="s">
        <v>230</v>
      </c>
      <c r="B1271" s="112" t="s">
        <v>339</v>
      </c>
      <c r="C1271" s="116" t="s">
        <v>1035</v>
      </c>
    </row>
    <row r="1272" spans="1:3" ht="15">
      <c r="A1272" s="113" t="s">
        <v>230</v>
      </c>
      <c r="B1272" s="112" t="s">
        <v>352</v>
      </c>
      <c r="C1272" s="116" t="s">
        <v>1035</v>
      </c>
    </row>
    <row r="1273" spans="1:3" ht="15">
      <c r="A1273" s="113" t="s">
        <v>288</v>
      </c>
      <c r="B1273" s="112" t="s">
        <v>2659</v>
      </c>
      <c r="C1273" s="116" t="s">
        <v>1140</v>
      </c>
    </row>
    <row r="1274" spans="1:3" ht="15">
      <c r="A1274" s="113" t="s">
        <v>288</v>
      </c>
      <c r="B1274" s="112" t="s">
        <v>3909</v>
      </c>
      <c r="C1274" s="116" t="s">
        <v>1140</v>
      </c>
    </row>
    <row r="1275" spans="1:3" ht="15">
      <c r="A1275" s="113" t="s">
        <v>288</v>
      </c>
      <c r="B1275" s="112" t="s">
        <v>2694</v>
      </c>
      <c r="C1275" s="116" t="s">
        <v>1140</v>
      </c>
    </row>
    <row r="1276" spans="1:3" ht="15">
      <c r="A1276" s="113" t="s">
        <v>288</v>
      </c>
      <c r="B1276" s="112" t="s">
        <v>3910</v>
      </c>
      <c r="C1276" s="116" t="s">
        <v>1140</v>
      </c>
    </row>
    <row r="1277" spans="1:3" ht="15">
      <c r="A1277" s="113" t="s">
        <v>288</v>
      </c>
      <c r="B1277" s="112" t="s">
        <v>3911</v>
      </c>
      <c r="C1277" s="116" t="s">
        <v>1140</v>
      </c>
    </row>
    <row r="1278" spans="1:3" ht="15">
      <c r="A1278" s="113" t="s">
        <v>288</v>
      </c>
      <c r="B1278" s="112" t="s">
        <v>2719</v>
      </c>
      <c r="C1278" s="116" t="s">
        <v>1140</v>
      </c>
    </row>
    <row r="1279" spans="1:3" ht="15">
      <c r="A1279" s="113" t="s">
        <v>288</v>
      </c>
      <c r="B1279" s="112" t="s">
        <v>3912</v>
      </c>
      <c r="C1279" s="116" t="s">
        <v>1140</v>
      </c>
    </row>
    <row r="1280" spans="1:3" ht="15">
      <c r="A1280" s="113" t="s">
        <v>288</v>
      </c>
      <c r="B1280" s="112" t="s">
        <v>3913</v>
      </c>
      <c r="C1280" s="116" t="s">
        <v>1140</v>
      </c>
    </row>
    <row r="1281" spans="1:3" ht="15">
      <c r="A1281" s="113" t="s">
        <v>288</v>
      </c>
      <c r="B1281" s="112" t="s">
        <v>2776</v>
      </c>
      <c r="C1281" s="116" t="s">
        <v>1140</v>
      </c>
    </row>
    <row r="1282" spans="1:3" ht="15">
      <c r="A1282" s="113" t="s">
        <v>288</v>
      </c>
      <c r="B1282" s="112" t="s">
        <v>3914</v>
      </c>
      <c r="C1282" s="116" t="s">
        <v>1140</v>
      </c>
    </row>
    <row r="1283" spans="1:3" ht="15">
      <c r="A1283" s="113" t="s">
        <v>288</v>
      </c>
      <c r="B1283" s="112" t="s">
        <v>3915</v>
      </c>
      <c r="C1283" s="116" t="s">
        <v>1140</v>
      </c>
    </row>
    <row r="1284" spans="1:3" ht="15">
      <c r="A1284" s="113" t="s">
        <v>288</v>
      </c>
      <c r="B1284" s="112" t="s">
        <v>2644</v>
      </c>
      <c r="C1284" s="116" t="s">
        <v>1140</v>
      </c>
    </row>
    <row r="1285" spans="1:3" ht="15">
      <c r="A1285" s="113" t="s">
        <v>288</v>
      </c>
      <c r="B1285" s="112" t="s">
        <v>2656</v>
      </c>
      <c r="C1285" s="116" t="s">
        <v>1140</v>
      </c>
    </row>
    <row r="1286" spans="1:3" ht="15">
      <c r="A1286" s="113" t="s">
        <v>288</v>
      </c>
      <c r="B1286" s="112" t="s">
        <v>2707</v>
      </c>
      <c r="C1286" s="116" t="s">
        <v>1140</v>
      </c>
    </row>
    <row r="1287" spans="1:3" ht="15">
      <c r="A1287" s="113" t="s">
        <v>288</v>
      </c>
      <c r="B1287" s="112" t="s">
        <v>2692</v>
      </c>
      <c r="C1287" s="116" t="s">
        <v>1140</v>
      </c>
    </row>
    <row r="1288" spans="1:3" ht="15">
      <c r="A1288" s="113" t="s">
        <v>319</v>
      </c>
      <c r="B1288" s="112" t="s">
        <v>682</v>
      </c>
      <c r="C1288" s="116" t="s">
        <v>1180</v>
      </c>
    </row>
    <row r="1289" spans="1:3" ht="15">
      <c r="A1289" s="113" t="s">
        <v>319</v>
      </c>
      <c r="B1289" s="112" t="s">
        <v>2778</v>
      </c>
      <c r="C1289" s="116" t="s">
        <v>1180</v>
      </c>
    </row>
    <row r="1290" spans="1:3" ht="15">
      <c r="A1290" s="113" t="s">
        <v>319</v>
      </c>
      <c r="B1290" s="112" t="s">
        <v>3916</v>
      </c>
      <c r="C1290" s="116" t="s">
        <v>1180</v>
      </c>
    </row>
    <row r="1291" spans="1:3" ht="15">
      <c r="A1291" s="113" t="s">
        <v>319</v>
      </c>
      <c r="B1291" s="112" t="s">
        <v>2728</v>
      </c>
      <c r="C1291" s="116" t="s">
        <v>1180</v>
      </c>
    </row>
    <row r="1292" spans="1:3" ht="15">
      <c r="A1292" s="113" t="s">
        <v>319</v>
      </c>
      <c r="B1292" s="112" t="s">
        <v>2668</v>
      </c>
      <c r="C1292" s="116" t="s">
        <v>1180</v>
      </c>
    </row>
    <row r="1293" spans="1:3" ht="15">
      <c r="A1293" s="113" t="s">
        <v>319</v>
      </c>
      <c r="B1293" s="112" t="s">
        <v>3352</v>
      </c>
      <c r="C1293" s="116" t="s">
        <v>1180</v>
      </c>
    </row>
    <row r="1294" spans="1:3" ht="15">
      <c r="A1294" s="113" t="s">
        <v>319</v>
      </c>
      <c r="B1294" s="112" t="s">
        <v>318</v>
      </c>
      <c r="C1294" s="116" t="s">
        <v>1180</v>
      </c>
    </row>
    <row r="1295" spans="1:3" ht="15">
      <c r="A1295" s="113" t="s">
        <v>239</v>
      </c>
      <c r="B1295" s="112" t="s">
        <v>2374</v>
      </c>
      <c r="C1295" s="116" t="s">
        <v>1051</v>
      </c>
    </row>
    <row r="1296" spans="1:3" ht="15">
      <c r="A1296" s="113" t="s">
        <v>239</v>
      </c>
      <c r="B1296" s="112" t="s">
        <v>2373</v>
      </c>
      <c r="C1296" s="116" t="s">
        <v>1051</v>
      </c>
    </row>
    <row r="1297" spans="1:3" ht="15">
      <c r="A1297" s="113" t="s">
        <v>239</v>
      </c>
      <c r="B1297" s="112" t="s">
        <v>681</v>
      </c>
      <c r="C1297" s="116" t="s">
        <v>1051</v>
      </c>
    </row>
    <row r="1298" spans="1:3" ht="15">
      <c r="A1298" s="113" t="s">
        <v>239</v>
      </c>
      <c r="B1298" s="112" t="s">
        <v>356</v>
      </c>
      <c r="C1298" s="116" t="s">
        <v>1051</v>
      </c>
    </row>
    <row r="1299" spans="1:3" ht="15">
      <c r="A1299" s="113" t="s">
        <v>243</v>
      </c>
      <c r="B1299" s="112" t="s">
        <v>2374</v>
      </c>
      <c r="C1299" s="116" t="s">
        <v>1055</v>
      </c>
    </row>
    <row r="1300" spans="1:3" ht="15">
      <c r="A1300" s="113" t="s">
        <v>243</v>
      </c>
      <c r="B1300" s="112" t="s">
        <v>2373</v>
      </c>
      <c r="C1300" s="116" t="s">
        <v>1055</v>
      </c>
    </row>
    <row r="1301" spans="1:3" ht="15">
      <c r="A1301" s="113" t="s">
        <v>243</v>
      </c>
      <c r="B1301" s="112" t="s">
        <v>681</v>
      </c>
      <c r="C1301" s="116" t="s">
        <v>1055</v>
      </c>
    </row>
    <row r="1302" spans="1:3" ht="15">
      <c r="A1302" s="113" t="s">
        <v>243</v>
      </c>
      <c r="B1302" s="112" t="s">
        <v>334</v>
      </c>
      <c r="C1302" s="116" t="s">
        <v>1055</v>
      </c>
    </row>
    <row r="1303" spans="1:3" ht="15">
      <c r="A1303" s="113" t="s">
        <v>242</v>
      </c>
      <c r="B1303" s="112" t="s">
        <v>357</v>
      </c>
      <c r="C1303" s="116" t="s">
        <v>1054</v>
      </c>
    </row>
    <row r="1304" spans="1:3" ht="15">
      <c r="A1304" s="113" t="s">
        <v>242</v>
      </c>
      <c r="B1304" s="112" t="s">
        <v>2824</v>
      </c>
      <c r="C1304" s="116" t="s">
        <v>1054</v>
      </c>
    </row>
    <row r="1305" spans="1:3" ht="15">
      <c r="A1305" s="113" t="s">
        <v>242</v>
      </c>
      <c r="B1305" s="112" t="s">
        <v>2807</v>
      </c>
      <c r="C1305" s="116" t="s">
        <v>1054</v>
      </c>
    </row>
    <row r="1306" spans="1:3" ht="15">
      <c r="A1306" s="113" t="s">
        <v>242</v>
      </c>
      <c r="B1306" s="112" t="s">
        <v>2823</v>
      </c>
      <c r="C1306" s="116" t="s">
        <v>1054</v>
      </c>
    </row>
    <row r="1307" spans="1:3" ht="15">
      <c r="A1307" s="113" t="s">
        <v>242</v>
      </c>
      <c r="B1307" s="112" t="s">
        <v>2374</v>
      </c>
      <c r="C1307" s="116" t="s">
        <v>1054</v>
      </c>
    </row>
    <row r="1308" spans="1:3" ht="15">
      <c r="A1308" s="113" t="s">
        <v>242</v>
      </c>
      <c r="B1308" s="112" t="s">
        <v>2373</v>
      </c>
      <c r="C1308" s="116" t="s">
        <v>1054</v>
      </c>
    </row>
    <row r="1309" spans="1:3" ht="15">
      <c r="A1309" s="113" t="s">
        <v>242</v>
      </c>
      <c r="B1309" s="112" t="s">
        <v>2637</v>
      </c>
      <c r="C1309" s="116" t="s">
        <v>1054</v>
      </c>
    </row>
    <row r="1310" spans="1:3" ht="15">
      <c r="A1310" s="113" t="s">
        <v>242</v>
      </c>
      <c r="B1310" s="112" t="s">
        <v>2643</v>
      </c>
      <c r="C1310" s="116" t="s">
        <v>1054</v>
      </c>
    </row>
    <row r="1311" spans="1:3" ht="15">
      <c r="A1311" s="113" t="s">
        <v>242</v>
      </c>
      <c r="B1311" s="112" t="s">
        <v>2651</v>
      </c>
      <c r="C1311" s="116" t="s">
        <v>1054</v>
      </c>
    </row>
    <row r="1312" spans="1:3" ht="15">
      <c r="A1312" s="113" t="s">
        <v>242</v>
      </c>
      <c r="B1312" s="112" t="s">
        <v>2805</v>
      </c>
      <c r="C1312" s="116" t="s">
        <v>1054</v>
      </c>
    </row>
    <row r="1313" spans="1:3" ht="15">
      <c r="A1313" s="113" t="s">
        <v>242</v>
      </c>
      <c r="B1313" s="112" t="s">
        <v>2706</v>
      </c>
      <c r="C1313" s="116" t="s">
        <v>1054</v>
      </c>
    </row>
    <row r="1314" spans="1:3" ht="15">
      <c r="A1314" s="113" t="s">
        <v>242</v>
      </c>
      <c r="B1314" s="112" t="s">
        <v>2708</v>
      </c>
      <c r="C1314" s="116" t="s">
        <v>1054</v>
      </c>
    </row>
    <row r="1315" spans="1:3" ht="15">
      <c r="A1315" s="113" t="s">
        <v>242</v>
      </c>
      <c r="B1315" s="112">
        <v>0</v>
      </c>
      <c r="C1315" s="116" t="s">
        <v>1054</v>
      </c>
    </row>
    <row r="1316" spans="1:3" ht="15">
      <c r="A1316" s="113" t="s">
        <v>242</v>
      </c>
      <c r="B1316" s="112" t="s">
        <v>681</v>
      </c>
      <c r="C1316" s="116" t="s">
        <v>1054</v>
      </c>
    </row>
    <row r="1317" spans="1:3" ht="15">
      <c r="A1317" s="113" t="s">
        <v>326</v>
      </c>
      <c r="B1317" s="112" t="s">
        <v>682</v>
      </c>
      <c r="C1317" s="116" t="s">
        <v>1187</v>
      </c>
    </row>
    <row r="1318" spans="1:3" ht="15">
      <c r="A1318" s="113" t="s">
        <v>326</v>
      </c>
      <c r="B1318" s="112" t="s">
        <v>3917</v>
      </c>
      <c r="C1318" s="116" t="s">
        <v>1187</v>
      </c>
    </row>
    <row r="1319" spans="1:3" ht="15">
      <c r="A1319" s="113" t="s">
        <v>326</v>
      </c>
      <c r="B1319" s="112" t="s">
        <v>2731</v>
      </c>
      <c r="C1319" s="116" t="s">
        <v>1187</v>
      </c>
    </row>
    <row r="1320" spans="1:3" ht="15">
      <c r="A1320" s="113" t="s">
        <v>326</v>
      </c>
      <c r="B1320" s="112" t="s">
        <v>2962</v>
      </c>
      <c r="C1320" s="116" t="s">
        <v>1187</v>
      </c>
    </row>
    <row r="1321" spans="1:3" ht="15">
      <c r="A1321" s="113" t="s">
        <v>326</v>
      </c>
      <c r="B1321" s="112" t="s">
        <v>3918</v>
      </c>
      <c r="C1321" s="116" t="s">
        <v>1187</v>
      </c>
    </row>
    <row r="1322" spans="1:3" ht="15">
      <c r="A1322" s="113" t="s">
        <v>326</v>
      </c>
      <c r="B1322" s="112" t="s">
        <v>2854</v>
      </c>
      <c r="C1322" s="116" t="s">
        <v>1187</v>
      </c>
    </row>
    <row r="1323" spans="1:3" ht="15">
      <c r="A1323" s="113" t="s">
        <v>326</v>
      </c>
      <c r="B1323" s="112" t="s">
        <v>3919</v>
      </c>
      <c r="C1323" s="116" t="s">
        <v>1187</v>
      </c>
    </row>
    <row r="1324" spans="1:3" ht="15">
      <c r="A1324" s="113" t="s">
        <v>326</v>
      </c>
      <c r="B1324" s="112" t="s">
        <v>3920</v>
      </c>
      <c r="C1324" s="116" t="s">
        <v>1187</v>
      </c>
    </row>
    <row r="1325" spans="1:3" ht="15">
      <c r="A1325" s="113" t="s">
        <v>326</v>
      </c>
      <c r="B1325" s="112" t="s">
        <v>2999</v>
      </c>
      <c r="C1325" s="116" t="s">
        <v>1187</v>
      </c>
    </row>
    <row r="1326" spans="1:3" ht="15">
      <c r="A1326" s="113" t="s">
        <v>326</v>
      </c>
      <c r="B1326" s="112" t="s">
        <v>2377</v>
      </c>
      <c r="C1326" s="116" t="s">
        <v>1187</v>
      </c>
    </row>
    <row r="1327" spans="1:3" ht="15">
      <c r="A1327" s="113" t="s">
        <v>326</v>
      </c>
      <c r="B1327" s="112" t="s">
        <v>3921</v>
      </c>
      <c r="C1327" s="116" t="s">
        <v>1187</v>
      </c>
    </row>
    <row r="1328" spans="1:3" ht="15">
      <c r="A1328" s="113" t="s">
        <v>326</v>
      </c>
      <c r="B1328" s="112" t="s">
        <v>2699</v>
      </c>
      <c r="C1328" s="116" t="s">
        <v>1187</v>
      </c>
    </row>
    <row r="1329" spans="1:3" ht="15">
      <c r="A1329" s="113" t="s">
        <v>326</v>
      </c>
      <c r="B1329" s="112" t="s">
        <v>3922</v>
      </c>
      <c r="C1329" s="116" t="s">
        <v>1187</v>
      </c>
    </row>
    <row r="1330" spans="1:3" ht="15">
      <c r="A1330" s="113" t="s">
        <v>326</v>
      </c>
      <c r="B1330" s="112">
        <v>2024</v>
      </c>
      <c r="C1330" s="116" t="s">
        <v>1187</v>
      </c>
    </row>
    <row r="1331" spans="1:3" ht="15">
      <c r="A1331" s="113" t="s">
        <v>326</v>
      </c>
      <c r="B1331" s="112" t="s">
        <v>2654</v>
      </c>
      <c r="C1331" s="116" t="s">
        <v>1187</v>
      </c>
    </row>
    <row r="1332" spans="1:3" ht="15">
      <c r="A1332" s="113" t="s">
        <v>326</v>
      </c>
      <c r="B1332" s="112" t="s">
        <v>2703</v>
      </c>
      <c r="C1332" s="116" t="s">
        <v>1187</v>
      </c>
    </row>
    <row r="1333" spans="1:3" ht="15">
      <c r="A1333" s="113" t="s">
        <v>326</v>
      </c>
      <c r="B1333" s="112" t="s">
        <v>2850</v>
      </c>
      <c r="C1333" s="116" t="s">
        <v>1187</v>
      </c>
    </row>
    <row r="1334" spans="1:3" ht="15">
      <c r="A1334" s="113" t="s">
        <v>326</v>
      </c>
      <c r="B1334" s="112" t="s">
        <v>3923</v>
      </c>
      <c r="C1334" s="116" t="s">
        <v>1187</v>
      </c>
    </row>
    <row r="1335" spans="1:3" ht="15">
      <c r="A1335" s="113" t="s">
        <v>326</v>
      </c>
      <c r="B1335" s="112" t="s">
        <v>2664</v>
      </c>
      <c r="C1335" s="116" t="s">
        <v>1187</v>
      </c>
    </row>
    <row r="1336" spans="1:3" ht="15">
      <c r="A1336" s="113" t="s">
        <v>326</v>
      </c>
      <c r="B1336" s="112" t="s">
        <v>2939</v>
      </c>
      <c r="C1336" s="116" t="s">
        <v>1187</v>
      </c>
    </row>
    <row r="1337" spans="1:3" ht="15">
      <c r="A1337" s="113" t="s">
        <v>326</v>
      </c>
      <c r="B1337" s="112" t="s">
        <v>2379</v>
      </c>
      <c r="C1337" s="116" t="s">
        <v>1187</v>
      </c>
    </row>
    <row r="1338" spans="1:3" ht="15">
      <c r="A1338" s="113" t="s">
        <v>326</v>
      </c>
      <c r="B1338" s="112" t="s">
        <v>477</v>
      </c>
      <c r="C1338" s="116" t="s">
        <v>1187</v>
      </c>
    </row>
    <row r="1339" spans="1:3" ht="15">
      <c r="A1339" s="113" t="s">
        <v>311</v>
      </c>
      <c r="B1339" s="112" t="s">
        <v>2648</v>
      </c>
      <c r="C1339" s="116" t="s">
        <v>1166</v>
      </c>
    </row>
    <row r="1340" spans="1:3" ht="15">
      <c r="A1340" s="113" t="s">
        <v>311</v>
      </c>
      <c r="B1340" s="112" t="s">
        <v>2377</v>
      </c>
      <c r="C1340" s="116" t="s">
        <v>1166</v>
      </c>
    </row>
    <row r="1341" spans="1:3" ht="15">
      <c r="A1341" s="113" t="s">
        <v>311</v>
      </c>
      <c r="B1341" s="112" t="s">
        <v>3924</v>
      </c>
      <c r="C1341" s="116" t="s">
        <v>1166</v>
      </c>
    </row>
    <row r="1342" spans="1:3" ht="15">
      <c r="A1342" s="113" t="s">
        <v>311</v>
      </c>
      <c r="B1342" s="112" t="s">
        <v>2641</v>
      </c>
      <c r="C1342" s="116" t="s">
        <v>1166</v>
      </c>
    </row>
    <row r="1343" spans="1:3" ht="15">
      <c r="A1343" s="113" t="s">
        <v>311</v>
      </c>
      <c r="B1343" s="112" t="s">
        <v>2710</v>
      </c>
      <c r="C1343" s="116" t="s">
        <v>1166</v>
      </c>
    </row>
    <row r="1344" spans="1:3" ht="15">
      <c r="A1344" s="113" t="s">
        <v>311</v>
      </c>
      <c r="B1344" s="112" t="s">
        <v>681</v>
      </c>
      <c r="C1344" s="116" t="s">
        <v>1166</v>
      </c>
    </row>
    <row r="1345" spans="1:3" ht="15">
      <c r="A1345" s="113" t="s">
        <v>311</v>
      </c>
      <c r="B1345" s="112" t="s">
        <v>2988</v>
      </c>
      <c r="C1345" s="116" t="s">
        <v>1166</v>
      </c>
    </row>
    <row r="1346" spans="1:3" ht="15">
      <c r="A1346" s="113" t="s">
        <v>311</v>
      </c>
      <c r="B1346" s="112" t="s">
        <v>3925</v>
      </c>
      <c r="C1346" s="116" t="s">
        <v>1166</v>
      </c>
    </row>
    <row r="1347" spans="1:3" ht="15">
      <c r="A1347" s="113" t="s">
        <v>311</v>
      </c>
      <c r="B1347" s="112" t="s">
        <v>2374</v>
      </c>
      <c r="C1347" s="116" t="s">
        <v>1166</v>
      </c>
    </row>
    <row r="1348" spans="1:3" ht="15">
      <c r="A1348" s="113" t="s">
        <v>311</v>
      </c>
      <c r="B1348" s="112" t="s">
        <v>2373</v>
      </c>
      <c r="C1348" s="116" t="s">
        <v>1166</v>
      </c>
    </row>
    <row r="1349" spans="1:3" ht="15">
      <c r="A1349" s="113" t="s">
        <v>311</v>
      </c>
      <c r="B1349" s="112" t="s">
        <v>2645</v>
      </c>
      <c r="C1349" s="116" t="s">
        <v>1166</v>
      </c>
    </row>
    <row r="1350" spans="1:3" ht="15">
      <c r="A1350" s="113" t="s">
        <v>311</v>
      </c>
      <c r="B1350" s="112" t="s">
        <v>3926</v>
      </c>
      <c r="C1350" s="116" t="s">
        <v>1166</v>
      </c>
    </row>
    <row r="1351" spans="1:3" ht="15">
      <c r="A1351" s="113" t="s">
        <v>311</v>
      </c>
      <c r="B1351" s="112" t="s">
        <v>3927</v>
      </c>
      <c r="C1351" s="116" t="s">
        <v>1166</v>
      </c>
    </row>
    <row r="1352" spans="1:3" ht="15">
      <c r="A1352" s="113" t="s">
        <v>311</v>
      </c>
      <c r="B1352" s="112" t="s">
        <v>3928</v>
      </c>
      <c r="C1352" s="116" t="s">
        <v>1166</v>
      </c>
    </row>
    <row r="1353" spans="1:3" ht="15">
      <c r="A1353" s="113" t="s">
        <v>311</v>
      </c>
      <c r="B1353" s="112" t="s">
        <v>3011</v>
      </c>
      <c r="C1353" s="116" t="s">
        <v>1166</v>
      </c>
    </row>
    <row r="1354" spans="1:3" ht="15">
      <c r="A1354" s="113" t="s">
        <v>311</v>
      </c>
      <c r="B1354" s="112" t="s">
        <v>2656</v>
      </c>
      <c r="C1354" s="116" t="s">
        <v>1166</v>
      </c>
    </row>
    <row r="1355" spans="1:3" ht="15">
      <c r="A1355" s="113" t="s">
        <v>311</v>
      </c>
      <c r="B1355" s="112" t="s">
        <v>2686</v>
      </c>
      <c r="C1355" s="116" t="s">
        <v>1166</v>
      </c>
    </row>
    <row r="1356" spans="1:3" ht="15">
      <c r="A1356" s="113" t="s">
        <v>311</v>
      </c>
      <c r="B1356" s="112" t="s">
        <v>2916</v>
      </c>
      <c r="C1356" s="116" t="s">
        <v>1166</v>
      </c>
    </row>
    <row r="1357" spans="1:3" ht="15">
      <c r="A1357" s="113" t="s">
        <v>311</v>
      </c>
      <c r="B1357" s="112" t="s">
        <v>3929</v>
      </c>
      <c r="C1357" s="116" t="s">
        <v>1166</v>
      </c>
    </row>
    <row r="1358" spans="1:3" ht="15">
      <c r="A1358" s="113" t="s">
        <v>311</v>
      </c>
      <c r="B1358" s="112" t="s">
        <v>2378</v>
      </c>
      <c r="C1358" s="116" t="s">
        <v>1166</v>
      </c>
    </row>
    <row r="1359" spans="1:3" ht="15">
      <c r="A1359" s="113" t="s">
        <v>311</v>
      </c>
      <c r="B1359" s="112" t="s">
        <v>2636</v>
      </c>
      <c r="C1359" s="116" t="s">
        <v>1166</v>
      </c>
    </row>
    <row r="1360" spans="1:3" ht="15">
      <c r="A1360" s="113" t="s">
        <v>311</v>
      </c>
      <c r="B1360" s="112" t="s">
        <v>2727</v>
      </c>
      <c r="C1360" s="116" t="s">
        <v>1166</v>
      </c>
    </row>
    <row r="1361" spans="1:3" ht="15">
      <c r="A1361" s="113" t="s">
        <v>311</v>
      </c>
      <c r="B1361" s="112" t="s">
        <v>2672</v>
      </c>
      <c r="C1361" s="116" t="s">
        <v>1166</v>
      </c>
    </row>
    <row r="1362" spans="1:3" ht="15">
      <c r="A1362" s="113" t="s">
        <v>311</v>
      </c>
      <c r="B1362" s="112" t="s">
        <v>3930</v>
      </c>
      <c r="C1362" s="116" t="s">
        <v>1166</v>
      </c>
    </row>
    <row r="1363" spans="1:3" ht="15">
      <c r="A1363" s="113" t="s">
        <v>311</v>
      </c>
      <c r="B1363" s="112" t="s">
        <v>3931</v>
      </c>
      <c r="C1363" s="116" t="s">
        <v>1166</v>
      </c>
    </row>
    <row r="1364" spans="1:3" ht="15">
      <c r="A1364" s="113" t="s">
        <v>311</v>
      </c>
      <c r="B1364" s="112" t="s">
        <v>3932</v>
      </c>
      <c r="C1364" s="116" t="s">
        <v>1166</v>
      </c>
    </row>
    <row r="1365" spans="1:3" ht="15">
      <c r="A1365" s="113" t="s">
        <v>311</v>
      </c>
      <c r="B1365" s="112" t="s">
        <v>3933</v>
      </c>
      <c r="C1365" s="116" t="s">
        <v>1166</v>
      </c>
    </row>
    <row r="1366" spans="1:3" ht="15">
      <c r="A1366" s="113" t="s">
        <v>311</v>
      </c>
      <c r="B1366" s="112" t="s">
        <v>2649</v>
      </c>
      <c r="C1366" s="116" t="s">
        <v>1166</v>
      </c>
    </row>
    <row r="1367" spans="1:3" ht="15">
      <c r="A1367" s="113" t="s">
        <v>311</v>
      </c>
      <c r="B1367" s="112" t="s">
        <v>3934</v>
      </c>
      <c r="C1367" s="116" t="s">
        <v>1166</v>
      </c>
    </row>
    <row r="1368" spans="1:3" ht="15">
      <c r="A1368" s="113" t="s">
        <v>311</v>
      </c>
      <c r="B1368" s="112" t="s">
        <v>469</v>
      </c>
      <c r="C1368" s="116" t="s">
        <v>1166</v>
      </c>
    </row>
    <row r="1369" spans="1:3" ht="15">
      <c r="A1369" s="113" t="s">
        <v>301</v>
      </c>
      <c r="B1369" s="112" t="s">
        <v>682</v>
      </c>
      <c r="C1369" s="116" t="s">
        <v>1156</v>
      </c>
    </row>
    <row r="1370" spans="1:3" ht="15">
      <c r="A1370" s="113" t="s">
        <v>301</v>
      </c>
      <c r="B1370" s="112" t="s">
        <v>318</v>
      </c>
      <c r="C1370" s="116" t="s">
        <v>1156</v>
      </c>
    </row>
    <row r="1371" spans="1:3" ht="15">
      <c r="A1371" s="113" t="s">
        <v>330</v>
      </c>
      <c r="B1371" s="112" t="s">
        <v>704</v>
      </c>
      <c r="C1371" s="116" t="s">
        <v>1192</v>
      </c>
    </row>
    <row r="1372" spans="1:3" ht="15">
      <c r="A1372" s="113" t="s">
        <v>330</v>
      </c>
      <c r="B1372" s="112" t="s">
        <v>3935</v>
      </c>
      <c r="C1372" s="116" t="s">
        <v>1192</v>
      </c>
    </row>
    <row r="1373" spans="1:3" ht="15">
      <c r="A1373" s="113" t="s">
        <v>330</v>
      </c>
      <c r="B1373" s="112" t="s">
        <v>3936</v>
      </c>
      <c r="C1373" s="116" t="s">
        <v>1192</v>
      </c>
    </row>
    <row r="1374" spans="1:3" ht="15">
      <c r="A1374" s="113" t="s">
        <v>330</v>
      </c>
      <c r="B1374" s="112" t="s">
        <v>3937</v>
      </c>
      <c r="C1374" s="116" t="s">
        <v>1192</v>
      </c>
    </row>
    <row r="1375" spans="1:3" ht="15">
      <c r="A1375" s="113" t="s">
        <v>330</v>
      </c>
      <c r="B1375" s="112" t="s">
        <v>2882</v>
      </c>
      <c r="C1375" s="116" t="s">
        <v>1192</v>
      </c>
    </row>
    <row r="1376" spans="1:3" ht="15">
      <c r="A1376" s="113" t="s">
        <v>330</v>
      </c>
      <c r="B1376" s="112" t="s">
        <v>3938</v>
      </c>
      <c r="C1376" s="116" t="s">
        <v>1192</v>
      </c>
    </row>
    <row r="1377" spans="1:3" ht="15">
      <c r="A1377" s="113" t="s">
        <v>330</v>
      </c>
      <c r="B1377" s="112" t="s">
        <v>3019</v>
      </c>
      <c r="C1377" s="116" t="s">
        <v>1192</v>
      </c>
    </row>
    <row r="1378" spans="1:3" ht="15">
      <c r="A1378" s="113" t="s">
        <v>330</v>
      </c>
      <c r="B1378" s="112" t="s">
        <v>3939</v>
      </c>
      <c r="C1378" s="116" t="s">
        <v>1192</v>
      </c>
    </row>
    <row r="1379" spans="1:3" ht="15">
      <c r="A1379" s="113" t="s">
        <v>330</v>
      </c>
      <c r="B1379" s="112" t="s">
        <v>2653</v>
      </c>
      <c r="C1379" s="116" t="s">
        <v>1192</v>
      </c>
    </row>
    <row r="1380" spans="1:3" ht="15">
      <c r="A1380" s="113" t="s">
        <v>330</v>
      </c>
      <c r="B1380" s="112" t="s">
        <v>2730</v>
      </c>
      <c r="C1380" s="116" t="s">
        <v>1192</v>
      </c>
    </row>
    <row r="1381" spans="1:3" ht="15">
      <c r="A1381" s="113" t="s">
        <v>330</v>
      </c>
      <c r="B1381" s="112" t="s">
        <v>2644</v>
      </c>
      <c r="C1381" s="116" t="s">
        <v>1192</v>
      </c>
    </row>
    <row r="1382" spans="1:3" ht="15">
      <c r="A1382" s="113" t="s">
        <v>330</v>
      </c>
      <c r="B1382" s="112">
        <v>19</v>
      </c>
      <c r="C1382" s="116" t="s">
        <v>1192</v>
      </c>
    </row>
    <row r="1383" spans="1:3" ht="15">
      <c r="A1383" s="113" t="s">
        <v>330</v>
      </c>
      <c r="B1383" s="112" t="s">
        <v>3940</v>
      </c>
      <c r="C1383" s="116" t="s">
        <v>1192</v>
      </c>
    </row>
    <row r="1384" spans="1:3" ht="15">
      <c r="A1384" s="113" t="s">
        <v>330</v>
      </c>
      <c r="B1384" s="112" t="s">
        <v>3941</v>
      </c>
      <c r="C1384" s="116" t="s">
        <v>1192</v>
      </c>
    </row>
    <row r="1385" spans="1:3" ht="15">
      <c r="A1385" s="113" t="s">
        <v>330</v>
      </c>
      <c r="B1385" s="112" t="s">
        <v>3942</v>
      </c>
      <c r="C1385" s="116" t="s">
        <v>1192</v>
      </c>
    </row>
    <row r="1386" spans="1:3" ht="15">
      <c r="A1386" s="113" t="s">
        <v>330</v>
      </c>
      <c r="B1386" s="112" t="s">
        <v>3943</v>
      </c>
      <c r="C1386" s="116" t="s">
        <v>1192</v>
      </c>
    </row>
    <row r="1387" spans="1:3" ht="15">
      <c r="A1387" s="113" t="s">
        <v>330</v>
      </c>
      <c r="B1387" s="112" t="s">
        <v>2636</v>
      </c>
      <c r="C1387" s="116" t="s">
        <v>1192</v>
      </c>
    </row>
    <row r="1388" spans="1:3" ht="15">
      <c r="A1388" s="113" t="s">
        <v>330</v>
      </c>
      <c r="B1388" s="112" t="s">
        <v>2947</v>
      </c>
      <c r="C1388" s="116" t="s">
        <v>1192</v>
      </c>
    </row>
    <row r="1389" spans="1:3" ht="15">
      <c r="A1389" s="113" t="s">
        <v>330</v>
      </c>
      <c r="B1389" s="112" t="s">
        <v>3944</v>
      </c>
      <c r="C1389" s="116" t="s">
        <v>1192</v>
      </c>
    </row>
    <row r="1390" spans="1:3" ht="15">
      <c r="A1390" s="113" t="s">
        <v>330</v>
      </c>
      <c r="B1390" s="112" t="s">
        <v>3945</v>
      </c>
      <c r="C1390" s="116" t="s">
        <v>1192</v>
      </c>
    </row>
    <row r="1391" spans="1:3" ht="15">
      <c r="A1391" s="113" t="s">
        <v>226</v>
      </c>
      <c r="B1391" s="112" t="s">
        <v>2897</v>
      </c>
      <c r="C1391" s="116" t="s">
        <v>1028</v>
      </c>
    </row>
    <row r="1392" spans="1:3" ht="15">
      <c r="A1392" s="113" t="s">
        <v>226</v>
      </c>
      <c r="B1392" s="112" t="s">
        <v>2666</v>
      </c>
      <c r="C1392" s="116" t="s">
        <v>1028</v>
      </c>
    </row>
    <row r="1393" spans="1:3" ht="15">
      <c r="A1393" s="113" t="s">
        <v>226</v>
      </c>
      <c r="B1393" s="112" t="s">
        <v>2374</v>
      </c>
      <c r="C1393" s="116" t="s">
        <v>1028</v>
      </c>
    </row>
    <row r="1394" spans="1:3" ht="15">
      <c r="A1394" s="113" t="s">
        <v>226</v>
      </c>
      <c r="B1394" s="112" t="s">
        <v>2373</v>
      </c>
      <c r="C1394" s="116" t="s">
        <v>1028</v>
      </c>
    </row>
    <row r="1395" spans="1:3" ht="15">
      <c r="A1395" s="113" t="s">
        <v>226</v>
      </c>
      <c r="B1395" s="112" t="s">
        <v>681</v>
      </c>
      <c r="C1395" s="116" t="s">
        <v>1028</v>
      </c>
    </row>
    <row r="1396" spans="1:3" ht="15">
      <c r="A1396" s="113" t="s">
        <v>277</v>
      </c>
      <c r="B1396" s="112" t="s">
        <v>3946</v>
      </c>
      <c r="C1396" s="116" t="s">
        <v>1117</v>
      </c>
    </row>
    <row r="1397" spans="1:3" ht="15">
      <c r="A1397" s="113" t="s">
        <v>277</v>
      </c>
      <c r="B1397" s="112" t="s">
        <v>3947</v>
      </c>
      <c r="C1397" s="116" t="s">
        <v>1117</v>
      </c>
    </row>
    <row r="1398" spans="1:3" ht="15">
      <c r="A1398" s="113" t="s">
        <v>277</v>
      </c>
      <c r="B1398" s="112" t="s">
        <v>3948</v>
      </c>
      <c r="C1398" s="116" t="s">
        <v>1117</v>
      </c>
    </row>
    <row r="1399" spans="1:3" ht="15">
      <c r="A1399" s="113" t="s">
        <v>277</v>
      </c>
      <c r="B1399" s="112" t="s">
        <v>2649</v>
      </c>
      <c r="C1399" s="116" t="s">
        <v>1117</v>
      </c>
    </row>
    <row r="1400" spans="1:3" ht="15">
      <c r="A1400" s="113" t="s">
        <v>277</v>
      </c>
      <c r="B1400" s="112" t="s">
        <v>2968</v>
      </c>
      <c r="C1400" s="116" t="s">
        <v>1117</v>
      </c>
    </row>
    <row r="1401" spans="1:3" ht="15">
      <c r="A1401" s="113" t="s">
        <v>277</v>
      </c>
      <c r="B1401" s="112" t="s">
        <v>3949</v>
      </c>
      <c r="C1401" s="116" t="s">
        <v>1117</v>
      </c>
    </row>
    <row r="1402" spans="1:3" ht="15">
      <c r="A1402" s="113" t="s">
        <v>277</v>
      </c>
      <c r="B1402" s="112" t="s">
        <v>2645</v>
      </c>
      <c r="C1402" s="116" t="s">
        <v>1117</v>
      </c>
    </row>
    <row r="1403" spans="1:3" ht="15">
      <c r="A1403" s="113" t="s">
        <v>277</v>
      </c>
      <c r="B1403" s="112" t="s">
        <v>2731</v>
      </c>
      <c r="C1403" s="116" t="s">
        <v>1117</v>
      </c>
    </row>
    <row r="1404" spans="1:3" ht="15">
      <c r="A1404" s="113" t="s">
        <v>277</v>
      </c>
      <c r="B1404" s="112" t="s">
        <v>3950</v>
      </c>
      <c r="C1404" s="116" t="s">
        <v>1117</v>
      </c>
    </row>
    <row r="1405" spans="1:3" ht="15">
      <c r="A1405" s="113" t="s">
        <v>277</v>
      </c>
      <c r="B1405" s="112" t="s">
        <v>2374</v>
      </c>
      <c r="C1405" s="116" t="s">
        <v>1117</v>
      </c>
    </row>
    <row r="1406" spans="1:3" ht="15">
      <c r="A1406" s="113" t="s">
        <v>277</v>
      </c>
      <c r="B1406" s="112" t="s">
        <v>2373</v>
      </c>
      <c r="C1406" s="116" t="s">
        <v>1117</v>
      </c>
    </row>
    <row r="1407" spans="1:3" ht="15">
      <c r="A1407" s="113" t="s">
        <v>277</v>
      </c>
      <c r="B1407" s="112" t="s">
        <v>3951</v>
      </c>
      <c r="C1407" s="116" t="s">
        <v>1117</v>
      </c>
    </row>
    <row r="1408" spans="1:3" ht="15">
      <c r="A1408" s="113" t="s">
        <v>277</v>
      </c>
      <c r="B1408" s="112" t="s">
        <v>2712</v>
      </c>
      <c r="C1408" s="116" t="s">
        <v>1117</v>
      </c>
    </row>
    <row r="1409" spans="1:3" ht="15">
      <c r="A1409" s="113" t="s">
        <v>277</v>
      </c>
      <c r="B1409" s="112" t="s">
        <v>681</v>
      </c>
      <c r="C1409" s="116" t="s">
        <v>1117</v>
      </c>
    </row>
    <row r="1410" spans="1:3" ht="15">
      <c r="A1410" s="113" t="s">
        <v>277</v>
      </c>
      <c r="B1410" s="112" t="s">
        <v>2889</v>
      </c>
      <c r="C1410" s="116" t="s">
        <v>1117</v>
      </c>
    </row>
    <row r="1411" spans="1:3" ht="15">
      <c r="A1411" s="113" t="s">
        <v>277</v>
      </c>
      <c r="B1411" s="112" t="s">
        <v>402</v>
      </c>
      <c r="C1411" s="116" t="s">
        <v>1117</v>
      </c>
    </row>
    <row r="1412" spans="1:3" ht="15">
      <c r="A1412" s="113" t="s">
        <v>277</v>
      </c>
      <c r="B1412" s="112" t="s">
        <v>1494</v>
      </c>
      <c r="C1412" s="116" t="s">
        <v>1117</v>
      </c>
    </row>
    <row r="1413" spans="1:3" ht="15">
      <c r="A1413" s="113" t="s">
        <v>277</v>
      </c>
      <c r="B1413" s="112" t="s">
        <v>3362</v>
      </c>
      <c r="C1413" s="116" t="s">
        <v>1117</v>
      </c>
    </row>
    <row r="1414" spans="1:3" ht="15">
      <c r="A1414" s="113" t="s">
        <v>309</v>
      </c>
      <c r="B1414" s="112" t="s">
        <v>2374</v>
      </c>
      <c r="C1414" s="116" t="s">
        <v>1164</v>
      </c>
    </row>
    <row r="1415" spans="1:3" ht="15">
      <c r="A1415" s="113" t="s">
        <v>309</v>
      </c>
      <c r="B1415" s="112" t="s">
        <v>2373</v>
      </c>
      <c r="C1415" s="116" t="s">
        <v>1164</v>
      </c>
    </row>
    <row r="1416" spans="1:3" ht="15">
      <c r="A1416" s="113" t="s">
        <v>309</v>
      </c>
      <c r="B1416" s="112" t="s">
        <v>681</v>
      </c>
      <c r="C1416" s="116" t="s">
        <v>1164</v>
      </c>
    </row>
    <row r="1417" spans="1:3" ht="15">
      <c r="A1417" s="113" t="s">
        <v>309</v>
      </c>
      <c r="B1417" s="112" t="s">
        <v>2831</v>
      </c>
      <c r="C1417" s="116" t="s">
        <v>1164</v>
      </c>
    </row>
    <row r="1418" spans="1:3" ht="15">
      <c r="A1418" s="113" t="s">
        <v>309</v>
      </c>
      <c r="B1418" s="112" t="s">
        <v>2762</v>
      </c>
      <c r="C1418" s="116" t="s">
        <v>1164</v>
      </c>
    </row>
    <row r="1419" spans="1:3" ht="15">
      <c r="A1419" s="113" t="s">
        <v>309</v>
      </c>
      <c r="B1419" s="112" t="s">
        <v>2749</v>
      </c>
      <c r="C1419" s="116" t="s">
        <v>1164</v>
      </c>
    </row>
    <row r="1420" spans="1:3" ht="15">
      <c r="A1420" s="113" t="s">
        <v>309</v>
      </c>
      <c r="B1420" s="112" t="s">
        <v>341</v>
      </c>
      <c r="C1420" s="116" t="s">
        <v>1164</v>
      </c>
    </row>
    <row r="1421" spans="1:3" ht="15">
      <c r="A1421" s="113" t="s">
        <v>299</v>
      </c>
      <c r="B1421" s="112" t="s">
        <v>682</v>
      </c>
      <c r="C1421" s="116" t="s">
        <v>1154</v>
      </c>
    </row>
    <row r="1422" spans="1:3" ht="15">
      <c r="A1422" s="113" t="s">
        <v>299</v>
      </c>
      <c r="B1422" s="112" t="s">
        <v>2365</v>
      </c>
      <c r="C1422" s="116" t="s">
        <v>1154</v>
      </c>
    </row>
    <row r="1423" spans="1:3" ht="15">
      <c r="A1423" s="113" t="s">
        <v>299</v>
      </c>
      <c r="B1423" s="112" t="s">
        <v>2379</v>
      </c>
      <c r="C1423" s="116" t="s">
        <v>1154</v>
      </c>
    </row>
    <row r="1424" spans="1:3" ht="15">
      <c r="A1424" s="113" t="s">
        <v>299</v>
      </c>
      <c r="B1424" s="112" t="s">
        <v>3952</v>
      </c>
      <c r="C1424" s="116" t="s">
        <v>1154</v>
      </c>
    </row>
    <row r="1425" spans="1:3" ht="15">
      <c r="A1425" s="113" t="s">
        <v>299</v>
      </c>
      <c r="B1425" s="112" t="s">
        <v>2655</v>
      </c>
      <c r="C1425" s="116" t="s">
        <v>1154</v>
      </c>
    </row>
    <row r="1426" spans="1:3" ht="15">
      <c r="A1426" s="113" t="s">
        <v>299</v>
      </c>
      <c r="B1426" s="112" t="s">
        <v>2657</v>
      </c>
      <c r="C1426" s="116" t="s">
        <v>1154</v>
      </c>
    </row>
    <row r="1427" spans="1:3" ht="15">
      <c r="A1427" s="113" t="s">
        <v>299</v>
      </c>
      <c r="B1427" s="112" t="s">
        <v>3953</v>
      </c>
      <c r="C1427" s="116" t="s">
        <v>1154</v>
      </c>
    </row>
    <row r="1428" spans="1:3" ht="15">
      <c r="A1428" s="113" t="s">
        <v>299</v>
      </c>
      <c r="B1428" s="112" t="s">
        <v>2675</v>
      </c>
      <c r="C1428" s="116" t="s">
        <v>1154</v>
      </c>
    </row>
    <row r="1429" spans="1:3" ht="15">
      <c r="A1429" s="113" t="s">
        <v>299</v>
      </c>
      <c r="B1429" s="112" t="s">
        <v>2803</v>
      </c>
      <c r="C1429" s="116" t="s">
        <v>1154</v>
      </c>
    </row>
    <row r="1430" spans="1:3" ht="15">
      <c r="A1430" s="113" t="s">
        <v>299</v>
      </c>
      <c r="B1430" s="112" t="s">
        <v>2676</v>
      </c>
      <c r="C1430" s="116" t="s">
        <v>1154</v>
      </c>
    </row>
    <row r="1431" spans="1:3" ht="15">
      <c r="A1431" s="113" t="s">
        <v>299</v>
      </c>
      <c r="B1431" s="112" t="s">
        <v>2864</v>
      </c>
      <c r="C1431" s="116" t="s">
        <v>1154</v>
      </c>
    </row>
    <row r="1432" spans="1:3" ht="15">
      <c r="A1432" s="113" t="s">
        <v>299</v>
      </c>
      <c r="B1432" s="112" t="s">
        <v>2693</v>
      </c>
      <c r="C1432" s="116" t="s">
        <v>1154</v>
      </c>
    </row>
    <row r="1433" spans="1:3" ht="15">
      <c r="A1433" s="113" t="s">
        <v>249</v>
      </c>
      <c r="B1433" s="112" t="s">
        <v>682</v>
      </c>
      <c r="C1433" s="116" t="s">
        <v>1067</v>
      </c>
    </row>
    <row r="1434" spans="1:3" ht="15">
      <c r="A1434" s="113" t="s">
        <v>249</v>
      </c>
      <c r="B1434" s="112" t="s">
        <v>3954</v>
      </c>
      <c r="C1434" s="116" t="s">
        <v>1067</v>
      </c>
    </row>
    <row r="1435" spans="1:3" ht="15">
      <c r="A1435" s="113" t="s">
        <v>249</v>
      </c>
      <c r="B1435" s="112" t="s">
        <v>3955</v>
      </c>
      <c r="C1435" s="116" t="s">
        <v>1067</v>
      </c>
    </row>
    <row r="1436" spans="1:3" ht="15">
      <c r="A1436" s="113" t="s">
        <v>249</v>
      </c>
      <c r="B1436" s="112" t="s">
        <v>2641</v>
      </c>
      <c r="C1436" s="116" t="s">
        <v>1067</v>
      </c>
    </row>
    <row r="1437" spans="1:3" ht="15">
      <c r="A1437" s="113" t="s">
        <v>249</v>
      </c>
      <c r="B1437" s="112" t="s">
        <v>3956</v>
      </c>
      <c r="C1437" s="116" t="s">
        <v>1067</v>
      </c>
    </row>
    <row r="1438" spans="1:3" ht="15">
      <c r="A1438" s="113" t="s">
        <v>249</v>
      </c>
      <c r="B1438" s="112" t="s">
        <v>2813</v>
      </c>
      <c r="C1438" s="116" t="s">
        <v>1067</v>
      </c>
    </row>
    <row r="1439" spans="1:3" ht="15">
      <c r="A1439" s="113" t="s">
        <v>249</v>
      </c>
      <c r="B1439" s="112" t="s">
        <v>2674</v>
      </c>
      <c r="C1439" s="116" t="s">
        <v>1067</v>
      </c>
    </row>
    <row r="1440" spans="1:3" ht="15">
      <c r="A1440" s="113" t="s">
        <v>249</v>
      </c>
      <c r="B1440" s="112" t="s">
        <v>2639</v>
      </c>
      <c r="C1440" s="116" t="s">
        <v>1067</v>
      </c>
    </row>
    <row r="1441" spans="1:3" ht="15">
      <c r="A1441" s="113" t="s">
        <v>249</v>
      </c>
      <c r="B1441" s="112" t="s">
        <v>2698</v>
      </c>
      <c r="C1441" s="116" t="s">
        <v>1067</v>
      </c>
    </row>
    <row r="1442" spans="1:3" ht="15">
      <c r="A1442" s="113" t="s">
        <v>249</v>
      </c>
      <c r="B1442" s="112" t="s">
        <v>3957</v>
      </c>
      <c r="C1442" s="116" t="s">
        <v>1067</v>
      </c>
    </row>
    <row r="1443" spans="1:3" ht="15">
      <c r="A1443" s="113" t="s">
        <v>249</v>
      </c>
      <c r="B1443" s="112" t="s">
        <v>2648</v>
      </c>
      <c r="C1443" s="116" t="s">
        <v>1067</v>
      </c>
    </row>
    <row r="1444" spans="1:3" ht="15">
      <c r="A1444" s="113" t="s">
        <v>249</v>
      </c>
      <c r="B1444" s="112" t="s">
        <v>3958</v>
      </c>
      <c r="C1444" s="116" t="s">
        <v>1067</v>
      </c>
    </row>
    <row r="1445" spans="1:3" ht="15">
      <c r="A1445" s="113" t="s">
        <v>249</v>
      </c>
      <c r="B1445" s="112" t="s">
        <v>2782</v>
      </c>
      <c r="C1445" s="116" t="s">
        <v>1067</v>
      </c>
    </row>
    <row r="1446" spans="1:3" ht="15">
      <c r="A1446" s="113" t="s">
        <v>249</v>
      </c>
      <c r="B1446" s="112" t="s">
        <v>3959</v>
      </c>
      <c r="C1446" s="116" t="s">
        <v>1067</v>
      </c>
    </row>
    <row r="1447" spans="1:3" ht="15">
      <c r="A1447" s="113" t="s">
        <v>249</v>
      </c>
      <c r="B1447" s="112" t="s">
        <v>2376</v>
      </c>
      <c r="C1447" s="116" t="s">
        <v>1067</v>
      </c>
    </row>
    <row r="1448" spans="1:3" ht="15">
      <c r="A1448" s="113" t="s">
        <v>249</v>
      </c>
      <c r="B1448" s="112" t="s">
        <v>2718</v>
      </c>
      <c r="C1448" s="116" t="s">
        <v>1067</v>
      </c>
    </row>
    <row r="1449" spans="1:3" ht="15">
      <c r="A1449" s="113" t="s">
        <v>249</v>
      </c>
      <c r="B1449" s="112" t="s">
        <v>2644</v>
      </c>
      <c r="C1449" s="116" t="s">
        <v>1067</v>
      </c>
    </row>
    <row r="1450" spans="1:3" ht="15">
      <c r="A1450" s="113" t="s">
        <v>249</v>
      </c>
      <c r="B1450" s="112" t="s">
        <v>360</v>
      </c>
      <c r="C1450" s="116" t="s">
        <v>1067</v>
      </c>
    </row>
    <row r="1451" spans="1:3" ht="15">
      <c r="A1451" s="113" t="s">
        <v>254</v>
      </c>
      <c r="B1451" s="112" t="s">
        <v>2374</v>
      </c>
      <c r="C1451" s="116" t="s">
        <v>1077</v>
      </c>
    </row>
    <row r="1452" spans="1:3" ht="15">
      <c r="A1452" s="113" t="s">
        <v>254</v>
      </c>
      <c r="B1452" s="112" t="s">
        <v>2373</v>
      </c>
      <c r="C1452" s="116" t="s">
        <v>1077</v>
      </c>
    </row>
    <row r="1453" spans="1:3" ht="15">
      <c r="A1453" s="113" t="s">
        <v>254</v>
      </c>
      <c r="B1453" s="112" t="s">
        <v>681</v>
      </c>
      <c r="C1453" s="116" t="s">
        <v>1077</v>
      </c>
    </row>
    <row r="1454" spans="1:3" ht="15">
      <c r="A1454" s="113" t="s">
        <v>254</v>
      </c>
      <c r="B1454" s="112" t="s">
        <v>2376</v>
      </c>
      <c r="C1454" s="116" t="s">
        <v>1077</v>
      </c>
    </row>
    <row r="1455" spans="1:3" ht="15">
      <c r="A1455" s="113" t="s">
        <v>254</v>
      </c>
      <c r="B1455" s="112" t="s">
        <v>2679</v>
      </c>
      <c r="C1455" s="116" t="s">
        <v>1077</v>
      </c>
    </row>
    <row r="1456" spans="1:3" ht="15">
      <c r="A1456" s="113" t="s">
        <v>254</v>
      </c>
      <c r="B1456" s="112" t="s">
        <v>2734</v>
      </c>
      <c r="C1456" s="116" t="s">
        <v>1077</v>
      </c>
    </row>
    <row r="1457" spans="1:3" ht="15">
      <c r="A1457" s="113" t="s">
        <v>254</v>
      </c>
      <c r="B1457" s="112" t="s">
        <v>3960</v>
      </c>
      <c r="C1457" s="116" t="s">
        <v>1077</v>
      </c>
    </row>
    <row r="1458" spans="1:3" ht="15">
      <c r="A1458" s="113" t="s">
        <v>254</v>
      </c>
      <c r="B1458" s="112" t="s">
        <v>3961</v>
      </c>
      <c r="C1458" s="116" t="s">
        <v>1077</v>
      </c>
    </row>
    <row r="1459" spans="1:3" ht="15">
      <c r="A1459" s="113" t="s">
        <v>254</v>
      </c>
      <c r="B1459" s="112" t="s">
        <v>2703</v>
      </c>
      <c r="C1459" s="116" t="s">
        <v>1077</v>
      </c>
    </row>
    <row r="1460" spans="1:3" ht="15">
      <c r="A1460" s="113" t="s">
        <v>254</v>
      </c>
      <c r="B1460" s="112" t="s">
        <v>3962</v>
      </c>
      <c r="C1460" s="116" t="s">
        <v>1077</v>
      </c>
    </row>
    <row r="1461" spans="1:3" ht="15">
      <c r="A1461" s="113" t="s">
        <v>254</v>
      </c>
      <c r="B1461" s="112" t="s">
        <v>2727</v>
      </c>
      <c r="C1461" s="116" t="s">
        <v>1077</v>
      </c>
    </row>
    <row r="1462" spans="1:3" ht="15">
      <c r="A1462" s="113" t="s">
        <v>254</v>
      </c>
      <c r="B1462" s="112" t="s">
        <v>2683</v>
      </c>
      <c r="C1462" s="116" t="s">
        <v>1077</v>
      </c>
    </row>
    <row r="1463" spans="1:3" ht="15">
      <c r="A1463" s="113" t="s">
        <v>254</v>
      </c>
      <c r="B1463" s="112" t="s">
        <v>2845</v>
      </c>
      <c r="C1463" s="116" t="s">
        <v>1077</v>
      </c>
    </row>
    <row r="1464" spans="1:3" ht="15">
      <c r="A1464" s="113" t="s">
        <v>254</v>
      </c>
      <c r="B1464" s="112" t="s">
        <v>2759</v>
      </c>
      <c r="C1464" s="116" t="s">
        <v>1077</v>
      </c>
    </row>
    <row r="1465" spans="1:3" ht="15">
      <c r="A1465" s="113" t="s">
        <v>254</v>
      </c>
      <c r="B1465" s="112" t="s">
        <v>2749</v>
      </c>
      <c r="C1465" s="116" t="s">
        <v>1077</v>
      </c>
    </row>
    <row r="1466" spans="1:3" ht="15">
      <c r="A1466" s="113" t="s">
        <v>254</v>
      </c>
      <c r="B1466" s="112" t="s">
        <v>372</v>
      </c>
      <c r="C1466" s="116" t="s">
        <v>1077</v>
      </c>
    </row>
    <row r="1467" spans="1:3" ht="15">
      <c r="A1467" s="113" t="s">
        <v>254</v>
      </c>
      <c r="B1467" s="112" t="s">
        <v>373</v>
      </c>
      <c r="C1467" s="116" t="s">
        <v>1077</v>
      </c>
    </row>
    <row r="1468" spans="1:3" ht="15">
      <c r="A1468" s="113" t="s">
        <v>254</v>
      </c>
      <c r="B1468" s="112" t="s">
        <v>374</v>
      </c>
      <c r="C1468" s="116" t="s">
        <v>1077</v>
      </c>
    </row>
    <row r="1469" spans="1:3" ht="15">
      <c r="A1469" s="113" t="s">
        <v>329</v>
      </c>
      <c r="B1469" s="112" t="s">
        <v>682</v>
      </c>
      <c r="C1469" s="116" t="s">
        <v>1210</v>
      </c>
    </row>
    <row r="1470" spans="1:3" ht="15">
      <c r="A1470" s="113" t="s">
        <v>329</v>
      </c>
      <c r="B1470" s="112" t="s">
        <v>2639</v>
      </c>
      <c r="C1470" s="116" t="s">
        <v>1210</v>
      </c>
    </row>
    <row r="1471" spans="1:3" ht="15">
      <c r="A1471" s="113" t="s">
        <v>329</v>
      </c>
      <c r="B1471" s="112" t="s">
        <v>3963</v>
      </c>
      <c r="C1471" s="116" t="s">
        <v>1210</v>
      </c>
    </row>
    <row r="1472" spans="1:3" ht="15">
      <c r="A1472" s="113" t="s">
        <v>329</v>
      </c>
      <c r="B1472" s="112" t="s">
        <v>3964</v>
      </c>
      <c r="C1472" s="116" t="s">
        <v>1210</v>
      </c>
    </row>
    <row r="1473" spans="1:3" ht="15">
      <c r="A1473" s="113" t="s">
        <v>329</v>
      </c>
      <c r="B1473" s="112" t="s">
        <v>2648</v>
      </c>
      <c r="C1473" s="116" t="s">
        <v>1210</v>
      </c>
    </row>
    <row r="1474" spans="1:3" ht="15">
      <c r="A1474" s="113" t="s">
        <v>329</v>
      </c>
      <c r="B1474" s="112" t="s">
        <v>2712</v>
      </c>
      <c r="C1474" s="116" t="s">
        <v>1210</v>
      </c>
    </row>
    <row r="1475" spans="1:3" ht="15">
      <c r="A1475" s="113" t="s">
        <v>329</v>
      </c>
      <c r="B1475" s="112" t="s">
        <v>3965</v>
      </c>
      <c r="C1475" s="116" t="s">
        <v>1210</v>
      </c>
    </row>
    <row r="1476" spans="1:3" ht="15">
      <c r="A1476" s="113" t="s">
        <v>329</v>
      </c>
      <c r="B1476" s="112" t="s">
        <v>3966</v>
      </c>
      <c r="C1476" s="116" t="s">
        <v>1210</v>
      </c>
    </row>
    <row r="1477" spans="1:3" ht="15">
      <c r="A1477" s="113" t="s">
        <v>329</v>
      </c>
      <c r="B1477" s="112" t="s">
        <v>2660</v>
      </c>
      <c r="C1477" s="116" t="s">
        <v>1210</v>
      </c>
    </row>
    <row r="1478" spans="1:3" ht="15">
      <c r="A1478" s="113" t="s">
        <v>329</v>
      </c>
      <c r="B1478" s="112" t="s">
        <v>3967</v>
      </c>
      <c r="C1478" s="116" t="s">
        <v>1210</v>
      </c>
    </row>
    <row r="1479" spans="1:3" ht="15">
      <c r="A1479" s="113" t="s">
        <v>329</v>
      </c>
      <c r="B1479" s="112" t="s">
        <v>3968</v>
      </c>
      <c r="C1479" s="116" t="s">
        <v>1210</v>
      </c>
    </row>
    <row r="1480" spans="1:3" ht="15">
      <c r="A1480" s="113" t="s">
        <v>329</v>
      </c>
      <c r="B1480" s="112" t="s">
        <v>3969</v>
      </c>
      <c r="C1480" s="116" t="s">
        <v>1210</v>
      </c>
    </row>
    <row r="1481" spans="1:3" ht="15">
      <c r="A1481" s="113" t="s">
        <v>329</v>
      </c>
      <c r="B1481" s="112" t="s">
        <v>3970</v>
      </c>
      <c r="C1481" s="116" t="s">
        <v>1210</v>
      </c>
    </row>
    <row r="1482" spans="1:3" ht="15">
      <c r="A1482" s="113" t="s">
        <v>329</v>
      </c>
      <c r="B1482" s="112" t="s">
        <v>2377</v>
      </c>
      <c r="C1482" s="116" t="s">
        <v>1210</v>
      </c>
    </row>
    <row r="1483" spans="1:3" ht="15">
      <c r="A1483" s="113" t="s">
        <v>329</v>
      </c>
      <c r="B1483" s="112" t="s">
        <v>2738</v>
      </c>
      <c r="C1483" s="116" t="s">
        <v>1210</v>
      </c>
    </row>
    <row r="1484" spans="1:3" ht="15">
      <c r="A1484" s="113" t="s">
        <v>329</v>
      </c>
      <c r="B1484" s="112" t="s">
        <v>2710</v>
      </c>
      <c r="C1484" s="116" t="s">
        <v>1210</v>
      </c>
    </row>
    <row r="1485" spans="1:3" ht="15">
      <c r="A1485" s="113" t="s">
        <v>329</v>
      </c>
      <c r="B1485" s="112" t="s">
        <v>2647</v>
      </c>
      <c r="C1485" s="116" t="s">
        <v>1210</v>
      </c>
    </row>
    <row r="1486" spans="1:3" ht="15">
      <c r="A1486" s="113" t="s">
        <v>329</v>
      </c>
      <c r="B1486" s="112" t="s">
        <v>2679</v>
      </c>
      <c r="C1486" s="116" t="s">
        <v>1210</v>
      </c>
    </row>
    <row r="1487" spans="1:3" ht="15">
      <c r="A1487" s="113" t="s">
        <v>329</v>
      </c>
      <c r="B1487" s="112" t="s">
        <v>2732</v>
      </c>
      <c r="C1487" s="116" t="s">
        <v>1210</v>
      </c>
    </row>
    <row r="1488" spans="1:3" ht="15">
      <c r="A1488" s="113" t="s">
        <v>266</v>
      </c>
      <c r="B1488" s="112" t="s">
        <v>2374</v>
      </c>
      <c r="C1488" s="116" t="s">
        <v>1098</v>
      </c>
    </row>
    <row r="1489" spans="1:3" ht="15">
      <c r="A1489" s="113" t="s">
        <v>266</v>
      </c>
      <c r="B1489" s="112" t="s">
        <v>2373</v>
      </c>
      <c r="C1489" s="116" t="s">
        <v>1098</v>
      </c>
    </row>
    <row r="1490" spans="1:3" ht="15">
      <c r="A1490" s="113" t="s">
        <v>266</v>
      </c>
      <c r="B1490" s="112" t="s">
        <v>681</v>
      </c>
      <c r="C1490" s="116" t="s">
        <v>1098</v>
      </c>
    </row>
    <row r="1491" spans="1:3" ht="15">
      <c r="A1491" s="113" t="s">
        <v>266</v>
      </c>
      <c r="B1491" s="112" t="s">
        <v>3971</v>
      </c>
      <c r="C1491" s="116" t="s">
        <v>1098</v>
      </c>
    </row>
    <row r="1492" spans="1:3" ht="15">
      <c r="A1492" s="113" t="s">
        <v>266</v>
      </c>
      <c r="B1492" s="112" t="s">
        <v>3972</v>
      </c>
      <c r="C1492" s="116" t="s">
        <v>1098</v>
      </c>
    </row>
    <row r="1493" spans="1:3" ht="15">
      <c r="A1493" s="113" t="s">
        <v>266</v>
      </c>
      <c r="B1493" s="112" t="s">
        <v>2707</v>
      </c>
      <c r="C1493" s="116" t="s">
        <v>1098</v>
      </c>
    </row>
    <row r="1494" spans="1:3" ht="15">
      <c r="A1494" s="113" t="s">
        <v>266</v>
      </c>
      <c r="B1494" s="112" t="s">
        <v>2986</v>
      </c>
      <c r="C1494" s="116" t="s">
        <v>1098</v>
      </c>
    </row>
    <row r="1495" spans="1:3" ht="15">
      <c r="A1495" s="113" t="s">
        <v>266</v>
      </c>
      <c r="B1495" s="112" t="s">
        <v>2692</v>
      </c>
      <c r="C1495" s="116" t="s">
        <v>1098</v>
      </c>
    </row>
    <row r="1496" spans="1:3" ht="15">
      <c r="A1496" s="113" t="s">
        <v>266</v>
      </c>
      <c r="B1496" s="112" t="s">
        <v>3973</v>
      </c>
      <c r="C1496" s="116" t="s">
        <v>1098</v>
      </c>
    </row>
    <row r="1497" spans="1:3" ht="15">
      <c r="A1497" s="113" t="s">
        <v>266</v>
      </c>
      <c r="B1497" s="112" t="s">
        <v>2659</v>
      </c>
      <c r="C1497" s="116" t="s">
        <v>1098</v>
      </c>
    </row>
    <row r="1498" spans="1:3" ht="15">
      <c r="A1498" s="113" t="s">
        <v>266</v>
      </c>
      <c r="B1498" s="112" t="s">
        <v>2742</v>
      </c>
      <c r="C1498" s="116" t="s">
        <v>1098</v>
      </c>
    </row>
    <row r="1499" spans="1:3" ht="15">
      <c r="A1499" s="113" t="s">
        <v>266</v>
      </c>
      <c r="B1499" s="112" t="s">
        <v>2683</v>
      </c>
      <c r="C1499" s="116" t="s">
        <v>1098</v>
      </c>
    </row>
    <row r="1500" spans="1:3" ht="15">
      <c r="A1500" s="113" t="s">
        <v>266</v>
      </c>
      <c r="B1500" s="112" t="s">
        <v>3974</v>
      </c>
      <c r="C1500" s="116" t="s">
        <v>1098</v>
      </c>
    </row>
    <row r="1501" spans="1:3" ht="15">
      <c r="A1501" s="113" t="s">
        <v>266</v>
      </c>
      <c r="B1501" s="112" t="s">
        <v>2699</v>
      </c>
      <c r="C1501" s="116" t="s">
        <v>1098</v>
      </c>
    </row>
    <row r="1502" spans="1:3" ht="15">
      <c r="A1502" s="113" t="s">
        <v>266</v>
      </c>
      <c r="B1502" s="112" t="s">
        <v>3027</v>
      </c>
      <c r="C1502" s="116" t="s">
        <v>1098</v>
      </c>
    </row>
    <row r="1503" spans="1:3" ht="15">
      <c r="A1503" s="113" t="s">
        <v>266</v>
      </c>
      <c r="B1503" s="112" t="s">
        <v>2648</v>
      </c>
      <c r="C1503" s="116" t="s">
        <v>1098</v>
      </c>
    </row>
    <row r="1504" spans="1:3" ht="15">
      <c r="A1504" s="113" t="s">
        <v>266</v>
      </c>
      <c r="B1504" s="112" t="s">
        <v>3975</v>
      </c>
      <c r="C1504" s="116" t="s">
        <v>1098</v>
      </c>
    </row>
    <row r="1505" spans="1:3" ht="15">
      <c r="A1505" s="113" t="s">
        <v>266</v>
      </c>
      <c r="B1505" s="112" t="s">
        <v>382</v>
      </c>
      <c r="C1505" s="116" t="s">
        <v>1098</v>
      </c>
    </row>
    <row r="1506" spans="1:3" ht="15">
      <c r="A1506" s="113" t="s">
        <v>247</v>
      </c>
      <c r="B1506" s="112" t="s">
        <v>3976</v>
      </c>
      <c r="C1506" s="116" t="s">
        <v>1064</v>
      </c>
    </row>
    <row r="1507" spans="1:3" ht="15">
      <c r="A1507" s="113" t="s">
        <v>247</v>
      </c>
      <c r="B1507" s="112" t="s">
        <v>682</v>
      </c>
      <c r="C1507" s="116" t="s">
        <v>1064</v>
      </c>
    </row>
    <row r="1508" spans="1:3" ht="15">
      <c r="A1508" s="113" t="s">
        <v>247</v>
      </c>
      <c r="B1508" s="112" t="s">
        <v>2973</v>
      </c>
      <c r="C1508" s="116" t="s">
        <v>1064</v>
      </c>
    </row>
    <row r="1509" spans="1:3" ht="15">
      <c r="A1509" s="113" t="s">
        <v>247</v>
      </c>
      <c r="B1509" s="112" t="s">
        <v>2376</v>
      </c>
      <c r="C1509" s="116" t="s">
        <v>1064</v>
      </c>
    </row>
    <row r="1510" spans="1:3" ht="15">
      <c r="A1510" s="113" t="s">
        <v>247</v>
      </c>
      <c r="B1510" s="112" t="s">
        <v>2780</v>
      </c>
      <c r="C1510" s="116" t="s">
        <v>1064</v>
      </c>
    </row>
    <row r="1511" spans="1:3" ht="15">
      <c r="A1511" s="113" t="s">
        <v>247</v>
      </c>
      <c r="B1511" s="112" t="s">
        <v>2868</v>
      </c>
      <c r="C1511" s="116" t="s">
        <v>1064</v>
      </c>
    </row>
    <row r="1512" spans="1:3" ht="15">
      <c r="A1512" s="113" t="s">
        <v>247</v>
      </c>
      <c r="B1512" s="112" t="s">
        <v>3977</v>
      </c>
      <c r="C1512" s="116" t="s">
        <v>1064</v>
      </c>
    </row>
    <row r="1513" spans="1:3" ht="15">
      <c r="A1513" s="113" t="s">
        <v>247</v>
      </c>
      <c r="B1513" s="112" t="s">
        <v>3978</v>
      </c>
      <c r="C1513" s="116" t="s">
        <v>1064</v>
      </c>
    </row>
    <row r="1514" spans="1:3" ht="15">
      <c r="A1514" s="113" t="s">
        <v>247</v>
      </c>
      <c r="B1514" s="112" t="s">
        <v>2705</v>
      </c>
      <c r="C1514" s="116" t="s">
        <v>1064</v>
      </c>
    </row>
    <row r="1515" spans="1:3" ht="15">
      <c r="A1515" s="113" t="s">
        <v>247</v>
      </c>
      <c r="B1515" s="112" t="s">
        <v>2687</v>
      </c>
      <c r="C1515" s="116" t="s">
        <v>1064</v>
      </c>
    </row>
    <row r="1516" spans="1:3" ht="15">
      <c r="A1516" s="113" t="s">
        <v>247</v>
      </c>
      <c r="B1516" s="112" t="s">
        <v>2725</v>
      </c>
      <c r="C1516" s="116" t="s">
        <v>1064</v>
      </c>
    </row>
    <row r="1517" spans="1:3" ht="15">
      <c r="A1517" s="113" t="s">
        <v>247</v>
      </c>
      <c r="B1517" s="112" t="s">
        <v>2861</v>
      </c>
      <c r="C1517" s="116" t="s">
        <v>1064</v>
      </c>
    </row>
    <row r="1518" spans="1:3" ht="15">
      <c r="A1518" s="113" t="s">
        <v>247</v>
      </c>
      <c r="B1518" s="112" t="s">
        <v>2948</v>
      </c>
      <c r="C1518" s="116" t="s">
        <v>1064</v>
      </c>
    </row>
    <row r="1519" spans="1:3" ht="15">
      <c r="A1519" s="113" t="s">
        <v>247</v>
      </c>
      <c r="B1519" s="112" t="s">
        <v>2664</v>
      </c>
      <c r="C1519" s="116" t="s">
        <v>1064</v>
      </c>
    </row>
    <row r="1520" spans="1:3" ht="15">
      <c r="A1520" s="113" t="s">
        <v>247</v>
      </c>
      <c r="B1520" s="112" t="s">
        <v>2377</v>
      </c>
      <c r="C1520" s="116" t="s">
        <v>1064</v>
      </c>
    </row>
    <row r="1521" spans="1:3" ht="15">
      <c r="A1521" s="113" t="s">
        <v>247</v>
      </c>
      <c r="B1521" s="112" t="s">
        <v>2657</v>
      </c>
      <c r="C1521" s="116" t="s">
        <v>1064</v>
      </c>
    </row>
    <row r="1522" spans="1:3" ht="15">
      <c r="A1522" s="113" t="s">
        <v>247</v>
      </c>
      <c r="B1522" s="112" t="s">
        <v>2724</v>
      </c>
      <c r="C1522" s="116" t="s">
        <v>1064</v>
      </c>
    </row>
    <row r="1523" spans="1:3" ht="15">
      <c r="A1523" s="113" t="s">
        <v>247</v>
      </c>
      <c r="B1523" s="112" t="s">
        <v>2695</v>
      </c>
      <c r="C1523" s="116" t="s">
        <v>1064</v>
      </c>
    </row>
    <row r="1524" spans="1:3" ht="15">
      <c r="A1524" s="113" t="s">
        <v>247</v>
      </c>
      <c r="B1524" s="112" t="s">
        <v>3979</v>
      </c>
      <c r="C1524" s="116" t="s">
        <v>1064</v>
      </c>
    </row>
    <row r="1525" spans="1:3" ht="15">
      <c r="A1525" s="113" t="s">
        <v>247</v>
      </c>
      <c r="B1525" s="112" t="s">
        <v>3980</v>
      </c>
      <c r="C1525" s="116" t="s">
        <v>1064</v>
      </c>
    </row>
    <row r="1526" spans="1:3" ht="15">
      <c r="A1526" s="113" t="s">
        <v>247</v>
      </c>
      <c r="B1526" s="112" t="s">
        <v>3981</v>
      </c>
      <c r="C1526" s="116" t="s">
        <v>1064</v>
      </c>
    </row>
    <row r="1527" spans="1:3" ht="15">
      <c r="A1527" s="113" t="s">
        <v>247</v>
      </c>
      <c r="B1527" s="112" t="s">
        <v>2666</v>
      </c>
      <c r="C1527" s="116" t="s">
        <v>1064</v>
      </c>
    </row>
    <row r="1528" spans="1:3" ht="15">
      <c r="A1528" s="113" t="s">
        <v>247</v>
      </c>
      <c r="B1528" s="112" t="s">
        <v>3982</v>
      </c>
      <c r="C1528" s="116" t="s">
        <v>1064</v>
      </c>
    </row>
    <row r="1529" spans="1:3" ht="15">
      <c r="A1529" s="113" t="s">
        <v>247</v>
      </c>
      <c r="B1529" s="112" t="s">
        <v>3983</v>
      </c>
      <c r="C1529" s="116" t="s">
        <v>1064</v>
      </c>
    </row>
    <row r="1530" spans="1:3" ht="15">
      <c r="A1530" s="113" t="s">
        <v>247</v>
      </c>
      <c r="B1530" s="112" t="s">
        <v>359</v>
      </c>
      <c r="C1530" s="116" t="s">
        <v>1064</v>
      </c>
    </row>
    <row r="1531" spans="1:3" ht="15">
      <c r="A1531" s="113" t="s">
        <v>247</v>
      </c>
      <c r="B1531" s="112" t="s">
        <v>334</v>
      </c>
      <c r="C1531" s="116" t="s">
        <v>1064</v>
      </c>
    </row>
    <row r="1532" spans="1:3" ht="15">
      <c r="A1532" s="113" t="s">
        <v>274</v>
      </c>
      <c r="B1532" s="112" t="s">
        <v>2663</v>
      </c>
      <c r="C1532" s="116" t="s">
        <v>1108</v>
      </c>
    </row>
    <row r="1533" spans="1:3" ht="15">
      <c r="A1533" s="113" t="s">
        <v>274</v>
      </c>
      <c r="B1533" s="112" t="s">
        <v>2683</v>
      </c>
      <c r="C1533" s="116" t="s">
        <v>1108</v>
      </c>
    </row>
    <row r="1534" spans="1:3" ht="15">
      <c r="A1534" s="113" t="s">
        <v>274</v>
      </c>
      <c r="B1534" s="112" t="s">
        <v>2698</v>
      </c>
      <c r="C1534" s="116" t="s">
        <v>1108</v>
      </c>
    </row>
    <row r="1535" spans="1:3" ht="15">
      <c r="A1535" s="113" t="s">
        <v>274</v>
      </c>
      <c r="B1535" s="112" t="s">
        <v>2829</v>
      </c>
      <c r="C1535" s="116" t="s">
        <v>1108</v>
      </c>
    </row>
    <row r="1536" spans="1:3" ht="15">
      <c r="A1536" s="113" t="s">
        <v>274</v>
      </c>
      <c r="B1536" s="112" t="s">
        <v>2671</v>
      </c>
      <c r="C1536" s="116" t="s">
        <v>1108</v>
      </c>
    </row>
    <row r="1537" spans="1:3" ht="15">
      <c r="A1537" s="113" t="s">
        <v>274</v>
      </c>
      <c r="B1537" s="112" t="s">
        <v>2688</v>
      </c>
      <c r="C1537" s="116" t="s">
        <v>1108</v>
      </c>
    </row>
    <row r="1538" spans="1:3" ht="15">
      <c r="A1538" s="113" t="s">
        <v>274</v>
      </c>
      <c r="B1538" s="112" t="s">
        <v>2376</v>
      </c>
      <c r="C1538" s="116" t="s">
        <v>1108</v>
      </c>
    </row>
    <row r="1539" spans="1:3" ht="15">
      <c r="A1539" s="113" t="s">
        <v>274</v>
      </c>
      <c r="B1539" s="112" t="s">
        <v>2374</v>
      </c>
      <c r="C1539" s="116" t="s">
        <v>1108</v>
      </c>
    </row>
    <row r="1540" spans="1:3" ht="15">
      <c r="A1540" s="113" t="s">
        <v>274</v>
      </c>
      <c r="B1540" s="112" t="s">
        <v>2645</v>
      </c>
      <c r="C1540" s="116" t="s">
        <v>1108</v>
      </c>
    </row>
    <row r="1541" spans="1:3" ht="15">
      <c r="A1541" s="113" t="s">
        <v>274</v>
      </c>
      <c r="B1541" s="112" t="s">
        <v>2373</v>
      </c>
      <c r="C1541" s="116" t="s">
        <v>1108</v>
      </c>
    </row>
    <row r="1542" spans="1:3" ht="15">
      <c r="A1542" s="113" t="s">
        <v>274</v>
      </c>
      <c r="B1542" s="112" t="s">
        <v>681</v>
      </c>
      <c r="C1542" s="116" t="s">
        <v>1108</v>
      </c>
    </row>
    <row r="1543" spans="1:3" ht="15">
      <c r="A1543" s="113" t="s">
        <v>274</v>
      </c>
      <c r="B1543" s="112" t="s">
        <v>394</v>
      </c>
      <c r="C1543" s="116" t="s">
        <v>1108</v>
      </c>
    </row>
    <row r="1544" spans="1:3" ht="15">
      <c r="A1544" s="113" t="s">
        <v>274</v>
      </c>
      <c r="B1544" s="112" t="s">
        <v>396</v>
      </c>
      <c r="C1544" s="116" t="s">
        <v>1108</v>
      </c>
    </row>
    <row r="1545" spans="1:3" ht="15">
      <c r="A1545" s="113" t="s">
        <v>274</v>
      </c>
      <c r="B1545" s="112" t="s">
        <v>3346</v>
      </c>
      <c r="C1545" s="116" t="s">
        <v>1108</v>
      </c>
    </row>
    <row r="1546" spans="1:3" ht="15">
      <c r="A1546" s="113" t="s">
        <v>323</v>
      </c>
      <c r="B1546" s="112" t="s">
        <v>3984</v>
      </c>
      <c r="C1546" s="116" t="s">
        <v>1184</v>
      </c>
    </row>
    <row r="1547" spans="1:3" ht="15">
      <c r="A1547" s="113" t="s">
        <v>323</v>
      </c>
      <c r="B1547" s="112" t="s">
        <v>3985</v>
      </c>
      <c r="C1547" s="116" t="s">
        <v>1184</v>
      </c>
    </row>
    <row r="1548" spans="1:3" ht="15">
      <c r="A1548" s="113" t="s">
        <v>323</v>
      </c>
      <c r="B1548" s="112" t="s">
        <v>2788</v>
      </c>
      <c r="C1548" s="116" t="s">
        <v>1184</v>
      </c>
    </row>
    <row r="1549" spans="1:3" ht="15">
      <c r="A1549" s="113" t="s">
        <v>323</v>
      </c>
      <c r="B1549" s="112" t="s">
        <v>2759</v>
      </c>
      <c r="C1549" s="116" t="s">
        <v>1184</v>
      </c>
    </row>
    <row r="1550" spans="1:3" ht="15">
      <c r="A1550" s="113" t="s">
        <v>323</v>
      </c>
      <c r="B1550" s="112" t="s">
        <v>2374</v>
      </c>
      <c r="C1550" s="116" t="s">
        <v>1184</v>
      </c>
    </row>
    <row r="1551" spans="1:3" ht="15">
      <c r="A1551" s="113" t="s">
        <v>323</v>
      </c>
      <c r="B1551" s="112" t="s">
        <v>2373</v>
      </c>
      <c r="C1551" s="116" t="s">
        <v>1184</v>
      </c>
    </row>
    <row r="1552" spans="1:3" ht="15">
      <c r="A1552" s="113" t="s">
        <v>323</v>
      </c>
      <c r="B1552" s="112" t="s">
        <v>681</v>
      </c>
      <c r="C1552" s="116" t="s">
        <v>1184</v>
      </c>
    </row>
    <row r="1553" spans="1:3" ht="15">
      <c r="A1553" s="113" t="s">
        <v>323</v>
      </c>
      <c r="B1553" s="112" t="s">
        <v>2781</v>
      </c>
      <c r="C1553" s="116" t="s">
        <v>1184</v>
      </c>
    </row>
    <row r="1554" spans="1:3" ht="15">
      <c r="A1554" s="113" t="s">
        <v>323</v>
      </c>
      <c r="B1554" s="112" t="s">
        <v>3986</v>
      </c>
      <c r="C1554" s="116" t="s">
        <v>1184</v>
      </c>
    </row>
    <row r="1555" spans="1:3" ht="15">
      <c r="A1555" s="113" t="s">
        <v>323</v>
      </c>
      <c r="B1555" s="112" t="s">
        <v>3012</v>
      </c>
      <c r="C1555" s="116" t="s">
        <v>1184</v>
      </c>
    </row>
    <row r="1556" spans="1:3" ht="15">
      <c r="A1556" s="113" t="s">
        <v>323</v>
      </c>
      <c r="B1556" s="112" t="s">
        <v>2670</v>
      </c>
      <c r="C1556" s="116" t="s">
        <v>1184</v>
      </c>
    </row>
    <row r="1557" spans="1:3" ht="15">
      <c r="A1557" s="113" t="s">
        <v>323</v>
      </c>
      <c r="B1557" s="112" t="s">
        <v>3987</v>
      </c>
      <c r="C1557" s="116" t="s">
        <v>1184</v>
      </c>
    </row>
    <row r="1558" spans="1:3" ht="15">
      <c r="A1558" s="113" t="s">
        <v>323</v>
      </c>
      <c r="B1558" s="112" t="s">
        <v>3988</v>
      </c>
      <c r="C1558" s="116" t="s">
        <v>1184</v>
      </c>
    </row>
    <row r="1559" spans="1:3" ht="15">
      <c r="A1559" s="113" t="s">
        <v>323</v>
      </c>
      <c r="B1559" s="112" t="s">
        <v>2377</v>
      </c>
      <c r="C1559" s="116" t="s">
        <v>1184</v>
      </c>
    </row>
    <row r="1560" spans="1:3" ht="15">
      <c r="A1560" s="113" t="s">
        <v>323</v>
      </c>
      <c r="B1560" s="112" t="s">
        <v>2731</v>
      </c>
      <c r="C1560" s="116" t="s">
        <v>1184</v>
      </c>
    </row>
    <row r="1561" spans="1:3" ht="15">
      <c r="A1561" s="113" t="s">
        <v>323</v>
      </c>
      <c r="B1561" s="112" t="s">
        <v>3989</v>
      </c>
      <c r="C1561" s="116" t="s">
        <v>1184</v>
      </c>
    </row>
    <row r="1562" spans="1:3" ht="15">
      <c r="A1562" s="113" t="s">
        <v>323</v>
      </c>
      <c r="B1562" s="112" t="s">
        <v>2815</v>
      </c>
      <c r="C1562" s="116" t="s">
        <v>1184</v>
      </c>
    </row>
    <row r="1563" spans="1:3" ht="15">
      <c r="A1563" s="113" t="s">
        <v>323</v>
      </c>
      <c r="B1563" s="112" t="s">
        <v>2798</v>
      </c>
      <c r="C1563" s="116" t="s">
        <v>1184</v>
      </c>
    </row>
    <row r="1564" spans="1:3" ht="15">
      <c r="A1564" s="113" t="s">
        <v>323</v>
      </c>
      <c r="B1564" s="112" t="s">
        <v>3990</v>
      </c>
      <c r="C1564" s="116" t="s">
        <v>1184</v>
      </c>
    </row>
    <row r="1565" spans="1:3" ht="15">
      <c r="A1565" s="113" t="s">
        <v>323</v>
      </c>
      <c r="B1565" s="112" t="s">
        <v>3991</v>
      </c>
      <c r="C1565" s="116" t="s">
        <v>1184</v>
      </c>
    </row>
    <row r="1566" spans="1:3" ht="15">
      <c r="A1566" s="113" t="s">
        <v>323</v>
      </c>
      <c r="B1566" s="112" t="s">
        <v>3992</v>
      </c>
      <c r="C1566" s="116" t="s">
        <v>1184</v>
      </c>
    </row>
    <row r="1567" spans="1:3" ht="15">
      <c r="A1567" s="113" t="s">
        <v>323</v>
      </c>
      <c r="B1567" s="112" t="s">
        <v>3993</v>
      </c>
      <c r="C1567" s="116" t="s">
        <v>1184</v>
      </c>
    </row>
    <row r="1568" spans="1:3" ht="15">
      <c r="A1568" s="113" t="s">
        <v>323</v>
      </c>
      <c r="B1568" s="112" t="s">
        <v>3024</v>
      </c>
      <c r="C1568" s="116" t="s">
        <v>1184</v>
      </c>
    </row>
    <row r="1569" spans="1:3" ht="15">
      <c r="A1569" s="113" t="s">
        <v>323</v>
      </c>
      <c r="B1569" s="112" t="s">
        <v>2661</v>
      </c>
      <c r="C1569" s="116" t="s">
        <v>1184</v>
      </c>
    </row>
    <row r="1570" spans="1:3" ht="15">
      <c r="A1570" s="113" t="s">
        <v>323</v>
      </c>
      <c r="B1570" s="112" t="s">
        <v>2750</v>
      </c>
      <c r="C1570" s="116" t="s">
        <v>1184</v>
      </c>
    </row>
    <row r="1571" spans="1:3" ht="15">
      <c r="A1571" s="113" t="s">
        <v>323</v>
      </c>
      <c r="B1571" s="112" t="s">
        <v>2790</v>
      </c>
      <c r="C1571" s="116" t="s">
        <v>1184</v>
      </c>
    </row>
    <row r="1572" spans="1:3" ht="15">
      <c r="A1572" s="113" t="s">
        <v>323</v>
      </c>
      <c r="B1572" s="112" t="s">
        <v>2756</v>
      </c>
      <c r="C1572" s="116" t="s">
        <v>1184</v>
      </c>
    </row>
    <row r="1573" spans="1:3" ht="15">
      <c r="A1573" s="113" t="s">
        <v>323</v>
      </c>
      <c r="B1573" s="112" t="s">
        <v>3994</v>
      </c>
      <c r="C1573" s="116" t="s">
        <v>1184</v>
      </c>
    </row>
    <row r="1574" spans="1:3" ht="15">
      <c r="A1574" s="113" t="s">
        <v>323</v>
      </c>
      <c r="B1574" s="112" t="s">
        <v>2640</v>
      </c>
      <c r="C1574" s="116" t="s">
        <v>1184</v>
      </c>
    </row>
    <row r="1575" spans="1:3" ht="15">
      <c r="A1575" s="113" t="s">
        <v>323</v>
      </c>
      <c r="B1575" s="112" t="s">
        <v>2769</v>
      </c>
      <c r="C1575" s="116" t="s">
        <v>1184</v>
      </c>
    </row>
    <row r="1576" spans="1:3" ht="15">
      <c r="A1576" s="113" t="s">
        <v>323</v>
      </c>
      <c r="B1576" s="112" t="s">
        <v>2784</v>
      </c>
      <c r="C1576" s="116" t="s">
        <v>1184</v>
      </c>
    </row>
    <row r="1577" spans="1:3" ht="15">
      <c r="A1577" s="113" t="s">
        <v>323</v>
      </c>
      <c r="B1577" s="112" t="s">
        <v>322</v>
      </c>
      <c r="C1577" s="116" t="s">
        <v>1184</v>
      </c>
    </row>
    <row r="1578" spans="1:3" ht="15">
      <c r="A1578" s="113" t="s">
        <v>258</v>
      </c>
      <c r="B1578" s="112" t="s">
        <v>682</v>
      </c>
      <c r="C1578" s="116" t="s">
        <v>1082</v>
      </c>
    </row>
    <row r="1579" spans="1:3" ht="15">
      <c r="A1579" s="113" t="s">
        <v>258</v>
      </c>
      <c r="B1579" s="112" t="s">
        <v>2659</v>
      </c>
      <c r="C1579" s="116" t="s">
        <v>1082</v>
      </c>
    </row>
    <row r="1580" spans="1:3" ht="15">
      <c r="A1580" s="113" t="s">
        <v>258</v>
      </c>
      <c r="B1580" s="112" t="s">
        <v>3995</v>
      </c>
      <c r="C1580" s="116" t="s">
        <v>1082</v>
      </c>
    </row>
    <row r="1581" spans="1:3" ht="15">
      <c r="A1581" s="113" t="s">
        <v>258</v>
      </c>
      <c r="B1581" s="112" t="s">
        <v>3996</v>
      </c>
      <c r="C1581" s="116" t="s">
        <v>1082</v>
      </c>
    </row>
    <row r="1582" spans="1:3" ht="15">
      <c r="A1582" s="113" t="s">
        <v>258</v>
      </c>
      <c r="B1582" s="112" t="s">
        <v>3262</v>
      </c>
      <c r="C1582" s="116" t="s">
        <v>1082</v>
      </c>
    </row>
    <row r="1583" spans="1:3" ht="15">
      <c r="A1583" s="113" t="s">
        <v>258</v>
      </c>
      <c r="B1583" s="112" t="s">
        <v>3997</v>
      </c>
      <c r="C1583" s="116" t="s">
        <v>1082</v>
      </c>
    </row>
    <row r="1584" spans="1:3" ht="15">
      <c r="A1584" s="113" t="s">
        <v>258</v>
      </c>
      <c r="B1584" s="112" t="s">
        <v>3998</v>
      </c>
      <c r="C1584" s="116" t="s">
        <v>1082</v>
      </c>
    </row>
    <row r="1585" spans="1:3" ht="15">
      <c r="A1585" s="113" t="s">
        <v>258</v>
      </c>
      <c r="B1585" s="112" t="s">
        <v>3999</v>
      </c>
      <c r="C1585" s="116" t="s">
        <v>1082</v>
      </c>
    </row>
    <row r="1586" spans="1:3" ht="15">
      <c r="A1586" s="113" t="s">
        <v>258</v>
      </c>
      <c r="B1586" s="112" t="s">
        <v>4000</v>
      </c>
      <c r="C1586" s="116" t="s">
        <v>1082</v>
      </c>
    </row>
    <row r="1587" spans="1:3" ht="15">
      <c r="A1587" s="113" t="s">
        <v>258</v>
      </c>
      <c r="B1587" s="112" t="s">
        <v>4001</v>
      </c>
      <c r="C1587" s="116" t="s">
        <v>1082</v>
      </c>
    </row>
    <row r="1588" spans="1:3" ht="15">
      <c r="A1588" s="113" t="s">
        <v>258</v>
      </c>
      <c r="B1588" s="112" t="s">
        <v>4002</v>
      </c>
      <c r="C1588" s="116" t="s">
        <v>1082</v>
      </c>
    </row>
    <row r="1589" spans="1:3" ht="15">
      <c r="A1589" s="113" t="s">
        <v>258</v>
      </c>
      <c r="B1589" s="112" t="s">
        <v>4003</v>
      </c>
      <c r="C1589" s="116" t="s">
        <v>1082</v>
      </c>
    </row>
    <row r="1590" spans="1:3" ht="15">
      <c r="A1590" s="113" t="s">
        <v>258</v>
      </c>
      <c r="B1590" s="112" t="s">
        <v>2837</v>
      </c>
      <c r="C1590" s="116" t="s">
        <v>1082</v>
      </c>
    </row>
    <row r="1591" spans="1:3" ht="15">
      <c r="A1591" s="113" t="s">
        <v>258</v>
      </c>
      <c r="B1591" s="112" t="s">
        <v>4004</v>
      </c>
      <c r="C1591" s="116" t="s">
        <v>1082</v>
      </c>
    </row>
    <row r="1592" spans="1:3" ht="15">
      <c r="A1592" s="113" t="s">
        <v>258</v>
      </c>
      <c r="B1592" s="112" t="s">
        <v>2725</v>
      </c>
      <c r="C1592" s="116" t="s">
        <v>1082</v>
      </c>
    </row>
    <row r="1593" spans="1:3" ht="15">
      <c r="A1593" s="113" t="s">
        <v>258</v>
      </c>
      <c r="B1593" s="112" t="s">
        <v>2377</v>
      </c>
      <c r="C1593" s="116" t="s">
        <v>1082</v>
      </c>
    </row>
    <row r="1594" spans="1:3" ht="15">
      <c r="A1594" s="113" t="s">
        <v>258</v>
      </c>
      <c r="B1594" s="112" t="s">
        <v>2638</v>
      </c>
      <c r="C1594" s="116" t="s">
        <v>1082</v>
      </c>
    </row>
    <row r="1595" spans="1:3" ht="15">
      <c r="A1595" s="113" t="s">
        <v>258</v>
      </c>
      <c r="B1595" s="112" t="s">
        <v>4005</v>
      </c>
      <c r="C1595" s="116" t="s">
        <v>1082</v>
      </c>
    </row>
    <row r="1596" spans="1:3" ht="15">
      <c r="A1596" s="113" t="s">
        <v>258</v>
      </c>
      <c r="B1596" s="112" t="s">
        <v>4006</v>
      </c>
      <c r="C1596" s="116" t="s">
        <v>1082</v>
      </c>
    </row>
    <row r="1597" spans="1:3" ht="15">
      <c r="A1597" s="113" t="s">
        <v>258</v>
      </c>
      <c r="B1597" s="112" t="s">
        <v>4007</v>
      </c>
      <c r="C1597" s="116" t="s">
        <v>1082</v>
      </c>
    </row>
    <row r="1598" spans="1:3" ht="15">
      <c r="A1598" s="113" t="s">
        <v>258</v>
      </c>
      <c r="B1598" s="112" t="s">
        <v>4008</v>
      </c>
      <c r="C1598" s="116" t="s">
        <v>1082</v>
      </c>
    </row>
    <row r="1599" spans="1:3" ht="15">
      <c r="A1599" s="113" t="s">
        <v>258</v>
      </c>
      <c r="B1599" s="112" t="s">
        <v>4009</v>
      </c>
      <c r="C1599" s="116" t="s">
        <v>1082</v>
      </c>
    </row>
    <row r="1600" spans="1:3" ht="15">
      <c r="A1600" s="113" t="s">
        <v>258</v>
      </c>
      <c r="B1600" s="112" t="s">
        <v>4010</v>
      </c>
      <c r="C1600" s="116" t="s">
        <v>1082</v>
      </c>
    </row>
    <row r="1601" spans="1:3" ht="15">
      <c r="A1601" s="113" t="s">
        <v>258</v>
      </c>
      <c r="B1601" s="112" t="s">
        <v>2786</v>
      </c>
      <c r="C1601" s="116" t="s">
        <v>1082</v>
      </c>
    </row>
    <row r="1602" spans="1:3" ht="15">
      <c r="A1602" s="113" t="s">
        <v>258</v>
      </c>
      <c r="B1602" s="112" t="s">
        <v>2950</v>
      </c>
      <c r="C1602" s="116" t="s">
        <v>1082</v>
      </c>
    </row>
    <row r="1603" spans="1:3" ht="15">
      <c r="A1603" s="113" t="s">
        <v>258</v>
      </c>
      <c r="B1603" s="112" t="s">
        <v>4011</v>
      </c>
      <c r="C1603" s="116" t="s">
        <v>1082</v>
      </c>
    </row>
    <row r="1604" spans="1:3" ht="15">
      <c r="A1604" s="113" t="s">
        <v>258</v>
      </c>
      <c r="B1604" s="112" t="s">
        <v>2769</v>
      </c>
      <c r="C1604" s="116" t="s">
        <v>1082</v>
      </c>
    </row>
    <row r="1605" spans="1:3" ht="15">
      <c r="A1605" s="113" t="s">
        <v>258</v>
      </c>
      <c r="B1605" s="112" t="s">
        <v>2733</v>
      </c>
      <c r="C1605" s="116" t="s">
        <v>1082</v>
      </c>
    </row>
    <row r="1606" spans="1:3" ht="15">
      <c r="A1606" s="113" t="s">
        <v>258</v>
      </c>
      <c r="B1606" s="112" t="s">
        <v>2792</v>
      </c>
      <c r="C1606" s="116" t="s">
        <v>1082</v>
      </c>
    </row>
    <row r="1607" spans="1:3" ht="15">
      <c r="A1607" s="113" t="s">
        <v>258</v>
      </c>
      <c r="B1607" s="112" t="s">
        <v>4012</v>
      </c>
      <c r="C1607" s="116" t="s">
        <v>1082</v>
      </c>
    </row>
    <row r="1608" spans="1:3" ht="15">
      <c r="A1608" s="113" t="s">
        <v>258</v>
      </c>
      <c r="B1608" s="112" t="s">
        <v>2935</v>
      </c>
      <c r="C1608" s="116" t="s">
        <v>1082</v>
      </c>
    </row>
    <row r="1609" spans="1:3" ht="15">
      <c r="A1609" s="113" t="s">
        <v>258</v>
      </c>
      <c r="B1609" s="112" t="s">
        <v>2379</v>
      </c>
      <c r="C1609" s="116" t="s">
        <v>1082</v>
      </c>
    </row>
    <row r="1610" spans="1:3" ht="15">
      <c r="A1610" s="113" t="s">
        <v>258</v>
      </c>
      <c r="B1610" s="112" t="s">
        <v>2942</v>
      </c>
      <c r="C1610" s="116" t="s">
        <v>1082</v>
      </c>
    </row>
    <row r="1611" spans="1:3" ht="15">
      <c r="A1611" s="113" t="s">
        <v>250</v>
      </c>
      <c r="B1611" s="112" t="s">
        <v>2374</v>
      </c>
      <c r="C1611" s="116" t="s">
        <v>1071</v>
      </c>
    </row>
    <row r="1612" spans="1:3" ht="15">
      <c r="A1612" s="113" t="s">
        <v>250</v>
      </c>
      <c r="B1612" s="112" t="s">
        <v>2846</v>
      </c>
      <c r="C1612" s="116" t="s">
        <v>1071</v>
      </c>
    </row>
    <row r="1613" spans="1:3" ht="15">
      <c r="A1613" s="113" t="s">
        <v>250</v>
      </c>
      <c r="B1613" s="112" t="s">
        <v>2373</v>
      </c>
      <c r="C1613" s="116" t="s">
        <v>1071</v>
      </c>
    </row>
    <row r="1614" spans="1:3" ht="15">
      <c r="A1614" s="113" t="s">
        <v>250</v>
      </c>
      <c r="B1614" s="112" t="s">
        <v>681</v>
      </c>
      <c r="C1614" s="116" t="s">
        <v>1071</v>
      </c>
    </row>
    <row r="1615" spans="1:3" ht="15">
      <c r="A1615" s="113" t="s">
        <v>250</v>
      </c>
      <c r="B1615" s="112" t="s">
        <v>4013</v>
      </c>
      <c r="C1615" s="116" t="s">
        <v>1071</v>
      </c>
    </row>
    <row r="1616" spans="1:3" ht="15">
      <c r="A1616" s="113" t="s">
        <v>250</v>
      </c>
      <c r="B1616" s="112" t="s">
        <v>2653</v>
      </c>
      <c r="C1616" s="116" t="s">
        <v>1071</v>
      </c>
    </row>
    <row r="1617" spans="1:3" ht="15">
      <c r="A1617" s="113" t="s">
        <v>250</v>
      </c>
      <c r="B1617" s="112" t="s">
        <v>2815</v>
      </c>
      <c r="C1617" s="116" t="s">
        <v>1071</v>
      </c>
    </row>
    <row r="1618" spans="1:3" ht="15">
      <c r="A1618" s="113" t="s">
        <v>250</v>
      </c>
      <c r="B1618" s="112" t="s">
        <v>4014</v>
      </c>
      <c r="C1618" s="116" t="s">
        <v>1071</v>
      </c>
    </row>
    <row r="1619" spans="1:3" ht="15">
      <c r="A1619" s="113" t="s">
        <v>250</v>
      </c>
      <c r="B1619" s="112" t="s">
        <v>4015</v>
      </c>
      <c r="C1619" s="116" t="s">
        <v>1071</v>
      </c>
    </row>
    <row r="1620" spans="1:3" ht="15">
      <c r="A1620" s="113" t="s">
        <v>250</v>
      </c>
      <c r="B1620" s="112" t="s">
        <v>2379</v>
      </c>
      <c r="C1620" s="116" t="s">
        <v>1071</v>
      </c>
    </row>
    <row r="1621" spans="1:3" ht="15">
      <c r="A1621" s="113" t="s">
        <v>250</v>
      </c>
      <c r="B1621" s="112" t="s">
        <v>2649</v>
      </c>
      <c r="C1621" s="116" t="s">
        <v>1071</v>
      </c>
    </row>
    <row r="1622" spans="1:3" ht="15">
      <c r="A1622" s="113" t="s">
        <v>250</v>
      </c>
      <c r="B1622" s="112" t="s">
        <v>2686</v>
      </c>
      <c r="C1622" s="116" t="s">
        <v>1071</v>
      </c>
    </row>
    <row r="1623" spans="1:3" ht="15">
      <c r="A1623" s="113" t="s">
        <v>250</v>
      </c>
      <c r="B1623" s="112" t="s">
        <v>4016</v>
      </c>
      <c r="C1623" s="116" t="s">
        <v>1071</v>
      </c>
    </row>
    <row r="1624" spans="1:3" ht="15">
      <c r="A1624" s="113" t="s">
        <v>250</v>
      </c>
      <c r="B1624" s="112" t="s">
        <v>4017</v>
      </c>
      <c r="C1624" s="116" t="s">
        <v>1071</v>
      </c>
    </row>
    <row r="1625" spans="1:3" ht="15">
      <c r="A1625" s="113" t="s">
        <v>250</v>
      </c>
      <c r="B1625" s="112" t="s">
        <v>2731</v>
      </c>
      <c r="C1625" s="116" t="s">
        <v>1071</v>
      </c>
    </row>
    <row r="1626" spans="1:3" ht="15">
      <c r="A1626" s="113" t="s">
        <v>250</v>
      </c>
      <c r="B1626" s="112" t="s">
        <v>4018</v>
      </c>
      <c r="C1626" s="116" t="s">
        <v>1071</v>
      </c>
    </row>
    <row r="1627" spans="1:3" ht="15">
      <c r="A1627" s="113" t="s">
        <v>250</v>
      </c>
      <c r="B1627" s="112" t="s">
        <v>2687</v>
      </c>
      <c r="C1627" s="116" t="s">
        <v>1071</v>
      </c>
    </row>
    <row r="1628" spans="1:3" ht="15">
      <c r="A1628" s="113" t="s">
        <v>250</v>
      </c>
      <c r="B1628" s="112" t="s">
        <v>2946</v>
      </c>
      <c r="C1628" s="116" t="s">
        <v>1071</v>
      </c>
    </row>
    <row r="1629" spans="1:3" ht="15">
      <c r="A1629" s="113" t="s">
        <v>250</v>
      </c>
      <c r="B1629" s="112" t="s">
        <v>2851</v>
      </c>
      <c r="C1629" s="116" t="s">
        <v>1071</v>
      </c>
    </row>
    <row r="1630" spans="1:3" ht="15">
      <c r="A1630" s="113" t="s">
        <v>250</v>
      </c>
      <c r="B1630" s="112" t="s">
        <v>2800</v>
      </c>
      <c r="C1630" s="116" t="s">
        <v>1071</v>
      </c>
    </row>
    <row r="1631" spans="1:3" ht="15">
      <c r="A1631" s="113" t="s">
        <v>250</v>
      </c>
      <c r="B1631" s="112" t="s">
        <v>4019</v>
      </c>
      <c r="C1631" s="116" t="s">
        <v>1071</v>
      </c>
    </row>
    <row r="1632" spans="1:3" ht="15">
      <c r="A1632" s="113" t="s">
        <v>250</v>
      </c>
      <c r="B1632" s="112" t="s">
        <v>2683</v>
      </c>
      <c r="C1632" s="116" t="s">
        <v>1071</v>
      </c>
    </row>
    <row r="1633" spans="1:3" ht="15">
      <c r="A1633" s="113" t="s">
        <v>250</v>
      </c>
      <c r="B1633" s="112" t="s">
        <v>4020</v>
      </c>
      <c r="C1633" s="116" t="s">
        <v>1071</v>
      </c>
    </row>
    <row r="1634" spans="1:3" ht="15">
      <c r="A1634" s="113" t="s">
        <v>250</v>
      </c>
      <c r="B1634" s="112" t="s">
        <v>4021</v>
      </c>
      <c r="C1634" s="116" t="s">
        <v>1071</v>
      </c>
    </row>
    <row r="1635" spans="1:3" ht="15">
      <c r="A1635" s="113" t="s">
        <v>250</v>
      </c>
      <c r="B1635" s="112" t="s">
        <v>4022</v>
      </c>
      <c r="C1635" s="116" t="s">
        <v>1071</v>
      </c>
    </row>
    <row r="1636" spans="1:3" ht="15">
      <c r="A1636" s="113" t="s">
        <v>250</v>
      </c>
      <c r="B1636" s="112" t="s">
        <v>4023</v>
      </c>
      <c r="C1636" s="116" t="s">
        <v>1071</v>
      </c>
    </row>
    <row r="1637" spans="1:3" ht="15">
      <c r="A1637" s="113" t="s">
        <v>250</v>
      </c>
      <c r="B1637" s="112" t="s">
        <v>2795</v>
      </c>
      <c r="C1637" s="116" t="s">
        <v>1071</v>
      </c>
    </row>
    <row r="1638" spans="1:3" ht="15">
      <c r="A1638" s="113" t="s">
        <v>250</v>
      </c>
      <c r="B1638" s="112" t="s">
        <v>4024</v>
      </c>
      <c r="C1638" s="116" t="s">
        <v>1071</v>
      </c>
    </row>
    <row r="1639" spans="1:3" ht="15">
      <c r="A1639" s="113" t="s">
        <v>250</v>
      </c>
      <c r="B1639" s="112" t="s">
        <v>2638</v>
      </c>
      <c r="C1639" s="116" t="s">
        <v>1071</v>
      </c>
    </row>
    <row r="1640" spans="1:3" ht="15">
      <c r="A1640" s="113" t="s">
        <v>250</v>
      </c>
      <c r="B1640" s="112" t="s">
        <v>4025</v>
      </c>
      <c r="C1640" s="116" t="s">
        <v>1071</v>
      </c>
    </row>
    <row r="1641" spans="1:3" ht="15">
      <c r="A1641" s="113" t="s">
        <v>250</v>
      </c>
      <c r="B1641" s="112" t="s">
        <v>2640</v>
      </c>
      <c r="C1641" s="116" t="s">
        <v>1071</v>
      </c>
    </row>
    <row r="1642" spans="1:3" ht="15">
      <c r="A1642" s="113" t="s">
        <v>250</v>
      </c>
      <c r="B1642" s="112" t="s">
        <v>4026</v>
      </c>
      <c r="C1642" s="116" t="s">
        <v>1071</v>
      </c>
    </row>
    <row r="1643" spans="1:3" ht="15">
      <c r="A1643" s="113" t="s">
        <v>250</v>
      </c>
      <c r="B1643" s="112" t="s">
        <v>2835</v>
      </c>
      <c r="C1643" s="116" t="s">
        <v>1071</v>
      </c>
    </row>
    <row r="1644" spans="1:3" ht="15">
      <c r="A1644" s="113" t="s">
        <v>250</v>
      </c>
      <c r="B1644" s="112" t="s">
        <v>4027</v>
      </c>
      <c r="C1644" s="116" t="s">
        <v>1071</v>
      </c>
    </row>
    <row r="1645" spans="1:3" ht="15">
      <c r="A1645" s="113" t="s">
        <v>250</v>
      </c>
      <c r="B1645" s="112" t="s">
        <v>2729</v>
      </c>
      <c r="C1645" s="116" t="s">
        <v>1071</v>
      </c>
    </row>
    <row r="1646" spans="1:3" ht="15">
      <c r="A1646" s="113" t="s">
        <v>250</v>
      </c>
      <c r="B1646" s="112" t="s">
        <v>4028</v>
      </c>
      <c r="C1646" s="116" t="s">
        <v>1071</v>
      </c>
    </row>
    <row r="1647" spans="1:3" ht="15">
      <c r="A1647" s="113" t="s">
        <v>250</v>
      </c>
      <c r="B1647" s="112" t="s">
        <v>3416</v>
      </c>
      <c r="C1647" s="116" t="s">
        <v>1071</v>
      </c>
    </row>
    <row r="1648" spans="1:3" ht="15">
      <c r="A1648" s="113" t="s">
        <v>250</v>
      </c>
      <c r="B1648" s="112" t="s">
        <v>3347</v>
      </c>
      <c r="C1648" s="116" t="s">
        <v>1071</v>
      </c>
    </row>
    <row r="1649" spans="1:3" ht="15">
      <c r="A1649" s="113" t="s">
        <v>238</v>
      </c>
      <c r="B1649" s="112" t="s">
        <v>2374</v>
      </c>
      <c r="C1649" s="116" t="s">
        <v>1048</v>
      </c>
    </row>
    <row r="1650" spans="1:3" ht="15">
      <c r="A1650" s="113" t="s">
        <v>238</v>
      </c>
      <c r="B1650" s="112" t="s">
        <v>2373</v>
      </c>
      <c r="C1650" s="116" t="s">
        <v>1048</v>
      </c>
    </row>
    <row r="1651" spans="1:3" ht="15">
      <c r="A1651" s="113" t="s">
        <v>238</v>
      </c>
      <c r="B1651" s="112" t="s">
        <v>681</v>
      </c>
      <c r="C1651" s="116" t="s">
        <v>1048</v>
      </c>
    </row>
    <row r="1652" spans="1:3" ht="15">
      <c r="A1652" s="113" t="s">
        <v>238</v>
      </c>
      <c r="B1652" s="112" t="s">
        <v>2773</v>
      </c>
      <c r="C1652" s="116" t="s">
        <v>1048</v>
      </c>
    </row>
    <row r="1653" spans="1:3" ht="15">
      <c r="A1653" s="113" t="s">
        <v>238</v>
      </c>
      <c r="B1653" s="112" t="s">
        <v>2377</v>
      </c>
      <c r="C1653" s="116" t="s">
        <v>1048</v>
      </c>
    </row>
    <row r="1654" spans="1:3" ht="15">
      <c r="A1654" s="113" t="s">
        <v>238</v>
      </c>
      <c r="B1654" s="112" t="s">
        <v>2864</v>
      </c>
      <c r="C1654" s="116" t="s">
        <v>1048</v>
      </c>
    </row>
    <row r="1655" spans="1:3" ht="15">
      <c r="A1655" s="113" t="s">
        <v>238</v>
      </c>
      <c r="B1655" s="112" t="s">
        <v>4029</v>
      </c>
      <c r="C1655" s="116" t="s">
        <v>1048</v>
      </c>
    </row>
    <row r="1656" spans="1:3" ht="15">
      <c r="A1656" s="113" t="s">
        <v>238</v>
      </c>
      <c r="B1656" s="112" t="s">
        <v>4030</v>
      </c>
      <c r="C1656" s="116" t="s">
        <v>1048</v>
      </c>
    </row>
    <row r="1657" spans="1:3" ht="15">
      <c r="A1657" s="113" t="s">
        <v>238</v>
      </c>
      <c r="B1657" s="112" t="s">
        <v>4031</v>
      </c>
      <c r="C1657" s="116" t="s">
        <v>1048</v>
      </c>
    </row>
    <row r="1658" spans="1:3" ht="15">
      <c r="A1658" s="113" t="s">
        <v>238</v>
      </c>
      <c r="B1658" s="112" t="s">
        <v>2376</v>
      </c>
      <c r="C1658" s="116" t="s">
        <v>1048</v>
      </c>
    </row>
    <row r="1659" spans="1:3" ht="15">
      <c r="A1659" s="113" t="s">
        <v>238</v>
      </c>
      <c r="B1659" s="112" t="s">
        <v>4032</v>
      </c>
      <c r="C1659" s="116" t="s">
        <v>1048</v>
      </c>
    </row>
    <row r="1660" spans="1:3" ht="15">
      <c r="A1660" s="113" t="s">
        <v>238</v>
      </c>
      <c r="B1660" s="112" t="s">
        <v>2827</v>
      </c>
      <c r="C1660" s="116" t="s">
        <v>1048</v>
      </c>
    </row>
    <row r="1661" spans="1:3" ht="15">
      <c r="A1661" s="113" t="s">
        <v>238</v>
      </c>
      <c r="B1661" s="112" t="s">
        <v>2648</v>
      </c>
      <c r="C1661" s="116" t="s">
        <v>1048</v>
      </c>
    </row>
    <row r="1662" spans="1:3" ht="15">
      <c r="A1662" s="113" t="s">
        <v>238</v>
      </c>
      <c r="B1662" s="112" t="s">
        <v>2691</v>
      </c>
      <c r="C1662" s="116" t="s">
        <v>1048</v>
      </c>
    </row>
    <row r="1663" spans="1:3" ht="15">
      <c r="A1663" s="113" t="s">
        <v>238</v>
      </c>
      <c r="B1663" s="112" t="s">
        <v>4033</v>
      </c>
      <c r="C1663" s="116" t="s">
        <v>1048</v>
      </c>
    </row>
    <row r="1664" spans="1:3" ht="15">
      <c r="A1664" s="113" t="s">
        <v>238</v>
      </c>
      <c r="B1664" s="112" t="s">
        <v>2378</v>
      </c>
      <c r="C1664" s="116" t="s">
        <v>1048</v>
      </c>
    </row>
    <row r="1665" spans="1:3" ht="15">
      <c r="A1665" s="113" t="s">
        <v>238</v>
      </c>
      <c r="B1665" s="112" t="s">
        <v>4034</v>
      </c>
      <c r="C1665" s="116" t="s">
        <v>1048</v>
      </c>
    </row>
    <row r="1666" spans="1:3" ht="15">
      <c r="A1666" s="113" t="s">
        <v>238</v>
      </c>
      <c r="B1666" s="112" t="s">
        <v>2381</v>
      </c>
      <c r="C1666" s="116" t="s">
        <v>1048</v>
      </c>
    </row>
    <row r="1667" spans="1:3" ht="15">
      <c r="A1667" s="113" t="s">
        <v>238</v>
      </c>
      <c r="B1667" s="112" t="s">
        <v>2674</v>
      </c>
      <c r="C1667" s="116" t="s">
        <v>1048</v>
      </c>
    </row>
    <row r="1668" spans="1:3" ht="15">
      <c r="A1668" s="113" t="s">
        <v>238</v>
      </c>
      <c r="B1668" s="112" t="s">
        <v>2763</v>
      </c>
      <c r="C1668" s="116" t="s">
        <v>1048</v>
      </c>
    </row>
    <row r="1669" spans="1:3" ht="15">
      <c r="A1669" s="113" t="s">
        <v>238</v>
      </c>
      <c r="B1669" s="112" t="s">
        <v>334</v>
      </c>
      <c r="C1669" s="116" t="s">
        <v>1048</v>
      </c>
    </row>
    <row r="1670" spans="1:3" ht="15">
      <c r="A1670" s="113" t="s">
        <v>223</v>
      </c>
      <c r="B1670" s="112" t="s">
        <v>344</v>
      </c>
      <c r="C1670" s="116" t="s">
        <v>1022</v>
      </c>
    </row>
    <row r="1671" spans="1:3" ht="15">
      <c r="A1671" s="113" t="s">
        <v>223</v>
      </c>
      <c r="B1671" s="112" t="s">
        <v>268</v>
      </c>
      <c r="C1671" s="116" t="s">
        <v>1022</v>
      </c>
    </row>
    <row r="1672" spans="1:3" ht="15">
      <c r="A1672" s="113" t="s">
        <v>223</v>
      </c>
      <c r="B1672" s="112" t="s">
        <v>2828</v>
      </c>
      <c r="C1672" s="116" t="s">
        <v>1022</v>
      </c>
    </row>
    <row r="1673" spans="1:3" ht="15">
      <c r="A1673" s="113" t="s">
        <v>223</v>
      </c>
      <c r="B1673" s="112" t="s">
        <v>4035</v>
      </c>
      <c r="C1673" s="116" t="s">
        <v>1022</v>
      </c>
    </row>
    <row r="1674" spans="1:3" ht="15">
      <c r="A1674" s="113" t="s">
        <v>223</v>
      </c>
      <c r="B1674" s="112" t="s">
        <v>2658</v>
      </c>
      <c r="C1674" s="116" t="s">
        <v>1022</v>
      </c>
    </row>
    <row r="1675" spans="1:3" ht="15">
      <c r="A1675" s="113" t="s">
        <v>223</v>
      </c>
      <c r="B1675" s="112" t="s">
        <v>3022</v>
      </c>
      <c r="C1675" s="116" t="s">
        <v>1022</v>
      </c>
    </row>
    <row r="1676" spans="1:3" ht="15">
      <c r="A1676" s="113" t="s">
        <v>223</v>
      </c>
      <c r="B1676" s="112" t="s">
        <v>2381</v>
      </c>
      <c r="C1676" s="116" t="s">
        <v>1022</v>
      </c>
    </row>
    <row r="1677" spans="1:3" ht="15">
      <c r="A1677" s="113" t="s">
        <v>223</v>
      </c>
      <c r="B1677" s="112" t="s">
        <v>2739</v>
      </c>
      <c r="C1677" s="116" t="s">
        <v>1022</v>
      </c>
    </row>
    <row r="1678" spans="1:3" ht="15">
      <c r="A1678" s="113" t="s">
        <v>223</v>
      </c>
      <c r="B1678" s="112" t="s">
        <v>2647</v>
      </c>
      <c r="C1678" s="116" t="s">
        <v>1022</v>
      </c>
    </row>
    <row r="1679" spans="1:3" ht="15">
      <c r="A1679" s="113" t="s">
        <v>223</v>
      </c>
      <c r="B1679" s="112" t="s">
        <v>3002</v>
      </c>
      <c r="C1679" s="116" t="s">
        <v>1022</v>
      </c>
    </row>
    <row r="1680" spans="1:3" ht="15">
      <c r="A1680" s="113" t="s">
        <v>223</v>
      </c>
      <c r="B1680" s="112" t="s">
        <v>2673</v>
      </c>
      <c r="C1680" s="116" t="s">
        <v>1022</v>
      </c>
    </row>
    <row r="1681" spans="1:3" ht="15">
      <c r="A1681" s="113" t="s">
        <v>223</v>
      </c>
      <c r="B1681" s="112" t="s">
        <v>4036</v>
      </c>
      <c r="C1681" s="116" t="s">
        <v>1022</v>
      </c>
    </row>
    <row r="1682" spans="1:3" ht="15">
      <c r="A1682" s="113" t="s">
        <v>223</v>
      </c>
      <c r="B1682" s="112" t="s">
        <v>2662</v>
      </c>
      <c r="C1682" s="116" t="s">
        <v>1022</v>
      </c>
    </row>
    <row r="1683" spans="1:3" ht="15">
      <c r="A1683" s="113" t="s">
        <v>223</v>
      </c>
      <c r="B1683" s="112" t="s">
        <v>2691</v>
      </c>
      <c r="C1683" s="116" t="s">
        <v>1022</v>
      </c>
    </row>
    <row r="1684" spans="1:3" ht="15">
      <c r="A1684" s="113" t="s">
        <v>223</v>
      </c>
      <c r="B1684" s="112" t="s">
        <v>4037</v>
      </c>
      <c r="C1684" s="116" t="s">
        <v>1022</v>
      </c>
    </row>
    <row r="1685" spans="1:3" ht="15">
      <c r="A1685" s="113" t="s">
        <v>223</v>
      </c>
      <c r="B1685" s="112" t="s">
        <v>4038</v>
      </c>
      <c r="C1685" s="116" t="s">
        <v>1022</v>
      </c>
    </row>
    <row r="1686" spans="1:3" ht="15">
      <c r="A1686" s="113" t="s">
        <v>223</v>
      </c>
      <c r="B1686" s="112" t="s">
        <v>2745</v>
      </c>
      <c r="C1686" s="116" t="s">
        <v>1022</v>
      </c>
    </row>
    <row r="1687" spans="1:3" ht="15">
      <c r="A1687" s="113" t="s">
        <v>223</v>
      </c>
      <c r="B1687" s="112" t="s">
        <v>4039</v>
      </c>
      <c r="C1687" s="116" t="s">
        <v>1022</v>
      </c>
    </row>
    <row r="1688" spans="1:3" ht="15">
      <c r="A1688" s="113" t="s">
        <v>223</v>
      </c>
      <c r="B1688" s="112" t="s">
        <v>3018</v>
      </c>
      <c r="C1688" s="116" t="s">
        <v>1022</v>
      </c>
    </row>
    <row r="1689" spans="1:3" ht="15">
      <c r="A1689" s="113" t="s">
        <v>223</v>
      </c>
      <c r="B1689" s="112" t="s">
        <v>2378</v>
      </c>
      <c r="C1689" s="116" t="s">
        <v>1022</v>
      </c>
    </row>
    <row r="1690" spans="1:3" ht="15">
      <c r="A1690" s="113" t="s">
        <v>223</v>
      </c>
      <c r="B1690" s="112" t="s">
        <v>2657</v>
      </c>
      <c r="C1690" s="116" t="s">
        <v>1022</v>
      </c>
    </row>
    <row r="1691" spans="1:3" ht="15">
      <c r="A1691" s="113" t="s">
        <v>223</v>
      </c>
      <c r="B1691" s="112" t="s">
        <v>4040</v>
      </c>
      <c r="C1691" s="116" t="s">
        <v>1022</v>
      </c>
    </row>
    <row r="1692" spans="1:3" ht="15">
      <c r="A1692" s="113" t="s">
        <v>223</v>
      </c>
      <c r="B1692" s="112" t="s">
        <v>2705</v>
      </c>
      <c r="C1692" s="116" t="s">
        <v>1022</v>
      </c>
    </row>
    <row r="1693" spans="1:3" ht="15">
      <c r="A1693" s="113" t="s">
        <v>223</v>
      </c>
      <c r="B1693" s="112" t="s">
        <v>2637</v>
      </c>
      <c r="C1693" s="116" t="s">
        <v>1022</v>
      </c>
    </row>
    <row r="1694" spans="1:3" ht="15">
      <c r="A1694" s="113" t="s">
        <v>223</v>
      </c>
      <c r="B1694" s="112" t="s">
        <v>4041</v>
      </c>
      <c r="C1694" s="116" t="s">
        <v>1022</v>
      </c>
    </row>
    <row r="1695" spans="1:3" ht="15">
      <c r="A1695" s="113" t="s">
        <v>223</v>
      </c>
      <c r="B1695" s="112" t="s">
        <v>4042</v>
      </c>
      <c r="C1695" s="116" t="s">
        <v>1022</v>
      </c>
    </row>
    <row r="1696" spans="1:3" ht="15">
      <c r="A1696" s="113" t="s">
        <v>223</v>
      </c>
      <c r="B1696" s="112" t="s">
        <v>2641</v>
      </c>
      <c r="C1696" s="116" t="s">
        <v>1022</v>
      </c>
    </row>
    <row r="1697" spans="1:3" ht="15">
      <c r="A1697" s="113" t="s">
        <v>223</v>
      </c>
      <c r="B1697" s="112" t="s">
        <v>2760</v>
      </c>
      <c r="C1697" s="116" t="s">
        <v>1022</v>
      </c>
    </row>
    <row r="1698" spans="1:3" ht="15">
      <c r="A1698" s="113" t="s">
        <v>223</v>
      </c>
      <c r="B1698" s="112" t="s">
        <v>2787</v>
      </c>
      <c r="C1698" s="116" t="s">
        <v>1022</v>
      </c>
    </row>
    <row r="1699" spans="1:3" ht="15">
      <c r="A1699" s="113" t="s">
        <v>223</v>
      </c>
      <c r="B1699" s="112" t="s">
        <v>2696</v>
      </c>
      <c r="C1699" s="116" t="s">
        <v>1022</v>
      </c>
    </row>
    <row r="1700" spans="1:3" ht="15">
      <c r="A1700" s="113" t="s">
        <v>223</v>
      </c>
      <c r="B1700" s="112" t="s">
        <v>2722</v>
      </c>
      <c r="C1700" s="116" t="s">
        <v>1022</v>
      </c>
    </row>
    <row r="1701" spans="1:3" ht="15">
      <c r="A1701" s="113" t="s">
        <v>223</v>
      </c>
      <c r="B1701" s="112" t="s">
        <v>2376</v>
      </c>
      <c r="C1701" s="116" t="s">
        <v>1022</v>
      </c>
    </row>
    <row r="1702" spans="1:3" ht="15">
      <c r="A1702" s="113" t="s">
        <v>223</v>
      </c>
      <c r="B1702" s="112" t="s">
        <v>4043</v>
      </c>
      <c r="C1702" s="116" t="s">
        <v>1022</v>
      </c>
    </row>
    <row r="1703" spans="1:3" ht="15">
      <c r="A1703" s="113" t="s">
        <v>223</v>
      </c>
      <c r="B1703" s="112" t="s">
        <v>4044</v>
      </c>
      <c r="C1703" s="116" t="s">
        <v>1022</v>
      </c>
    </row>
    <row r="1704" spans="1:3" ht="15">
      <c r="A1704" s="113" t="s">
        <v>223</v>
      </c>
      <c r="B1704" s="112" t="s">
        <v>2949</v>
      </c>
      <c r="C1704" s="116" t="s">
        <v>1022</v>
      </c>
    </row>
    <row r="1705" spans="1:3" ht="15">
      <c r="A1705" s="113" t="s">
        <v>223</v>
      </c>
      <c r="B1705" s="112" t="s">
        <v>2374</v>
      </c>
      <c r="C1705" s="116" t="s">
        <v>1022</v>
      </c>
    </row>
    <row r="1706" spans="1:3" ht="15">
      <c r="A1706" s="113" t="s">
        <v>223</v>
      </c>
      <c r="B1706" s="112" t="s">
        <v>2373</v>
      </c>
      <c r="C1706" s="116" t="s">
        <v>1022</v>
      </c>
    </row>
    <row r="1707" spans="1:3" ht="15">
      <c r="A1707" s="113" t="s">
        <v>223</v>
      </c>
      <c r="B1707" s="112" t="s">
        <v>681</v>
      </c>
      <c r="C1707" s="116" t="s">
        <v>1022</v>
      </c>
    </row>
    <row r="1708" spans="1:3" ht="15">
      <c r="A1708" s="113" t="s">
        <v>324</v>
      </c>
      <c r="B1708" s="112" t="s">
        <v>4045</v>
      </c>
      <c r="C1708" s="116" t="s">
        <v>1185</v>
      </c>
    </row>
    <row r="1709" spans="1:3" ht="15">
      <c r="A1709" s="113" t="s">
        <v>324</v>
      </c>
      <c r="B1709" s="112" t="s">
        <v>2685</v>
      </c>
      <c r="C1709" s="116" t="s">
        <v>1185</v>
      </c>
    </row>
    <row r="1710" spans="1:3" ht="15">
      <c r="A1710" s="113" t="s">
        <v>324</v>
      </c>
      <c r="B1710" s="112" t="s">
        <v>2690</v>
      </c>
      <c r="C1710" s="116" t="s">
        <v>1185</v>
      </c>
    </row>
    <row r="1711" spans="1:3" ht="15">
      <c r="A1711" s="113" t="s">
        <v>324</v>
      </c>
      <c r="B1711" s="112" t="s">
        <v>4046</v>
      </c>
      <c r="C1711" s="116" t="s">
        <v>1185</v>
      </c>
    </row>
    <row r="1712" spans="1:3" ht="15">
      <c r="A1712" s="113" t="s">
        <v>324</v>
      </c>
      <c r="B1712" s="112" t="s">
        <v>4047</v>
      </c>
      <c r="C1712" s="116" t="s">
        <v>1185</v>
      </c>
    </row>
    <row r="1713" spans="1:3" ht="15">
      <c r="A1713" s="113" t="s">
        <v>324</v>
      </c>
      <c r="B1713" s="112" t="s">
        <v>4048</v>
      </c>
      <c r="C1713" s="116" t="s">
        <v>1185</v>
      </c>
    </row>
    <row r="1714" spans="1:3" ht="15">
      <c r="A1714" s="113" t="s">
        <v>324</v>
      </c>
      <c r="B1714" s="112" t="s">
        <v>4049</v>
      </c>
      <c r="C1714" s="116" t="s">
        <v>1185</v>
      </c>
    </row>
    <row r="1715" spans="1:3" ht="15">
      <c r="A1715" s="113" t="s">
        <v>324</v>
      </c>
      <c r="B1715" s="112" t="s">
        <v>2374</v>
      </c>
      <c r="C1715" s="116" t="s">
        <v>1185</v>
      </c>
    </row>
    <row r="1716" spans="1:3" ht="15">
      <c r="A1716" s="113" t="s">
        <v>324</v>
      </c>
      <c r="B1716" s="112" t="s">
        <v>2373</v>
      </c>
      <c r="C1716" s="116" t="s">
        <v>1185</v>
      </c>
    </row>
    <row r="1717" spans="1:3" ht="15">
      <c r="A1717" s="113" t="s">
        <v>324</v>
      </c>
      <c r="B1717" s="112" t="s">
        <v>681</v>
      </c>
      <c r="C1717" s="116" t="s">
        <v>1185</v>
      </c>
    </row>
    <row r="1718" spans="1:3" ht="15">
      <c r="A1718" s="113" t="s">
        <v>324</v>
      </c>
      <c r="B1718" s="112" t="s">
        <v>2781</v>
      </c>
      <c r="C1718" s="116" t="s">
        <v>1185</v>
      </c>
    </row>
    <row r="1719" spans="1:3" ht="15">
      <c r="A1719" s="113" t="s">
        <v>317</v>
      </c>
      <c r="B1719" s="112" t="s">
        <v>4050</v>
      </c>
      <c r="C1719" s="116" t="s">
        <v>1177</v>
      </c>
    </row>
    <row r="1720" spans="1:3" ht="15">
      <c r="A1720" s="113" t="s">
        <v>317</v>
      </c>
      <c r="B1720" s="112" t="s">
        <v>2713</v>
      </c>
      <c r="C1720" s="116" t="s">
        <v>1177</v>
      </c>
    </row>
    <row r="1721" spans="1:3" ht="15">
      <c r="A1721" s="113" t="s">
        <v>317</v>
      </c>
      <c r="B1721" s="112" t="s">
        <v>2374</v>
      </c>
      <c r="C1721" s="116" t="s">
        <v>1177</v>
      </c>
    </row>
    <row r="1722" spans="1:3" ht="15">
      <c r="A1722" s="113" t="s">
        <v>317</v>
      </c>
      <c r="B1722" s="112" t="s">
        <v>2373</v>
      </c>
      <c r="C1722" s="116" t="s">
        <v>1177</v>
      </c>
    </row>
    <row r="1723" spans="1:3" ht="15">
      <c r="A1723" s="113" t="s">
        <v>317</v>
      </c>
      <c r="B1723" s="112" t="s">
        <v>4051</v>
      </c>
      <c r="C1723" s="116" t="s">
        <v>1177</v>
      </c>
    </row>
    <row r="1724" spans="1:3" ht="15">
      <c r="A1724" s="113" t="s">
        <v>317</v>
      </c>
      <c r="B1724" s="112" t="s">
        <v>3008</v>
      </c>
      <c r="C1724" s="116" t="s">
        <v>1177</v>
      </c>
    </row>
    <row r="1725" spans="1:3" ht="15">
      <c r="A1725" s="113" t="s">
        <v>317</v>
      </c>
      <c r="B1725" s="112">
        <v>4</v>
      </c>
      <c r="C1725" s="116" t="s">
        <v>1177</v>
      </c>
    </row>
    <row r="1726" spans="1:3" ht="15">
      <c r="A1726" s="113" t="s">
        <v>317</v>
      </c>
      <c r="B1726" s="112" t="s">
        <v>4052</v>
      </c>
      <c r="C1726" s="116" t="s">
        <v>1177</v>
      </c>
    </row>
    <row r="1727" spans="1:3" ht="15">
      <c r="A1727" s="113" t="s">
        <v>317</v>
      </c>
      <c r="B1727" s="112" t="s">
        <v>4053</v>
      </c>
      <c r="C1727" s="116" t="s">
        <v>1177</v>
      </c>
    </row>
    <row r="1728" spans="1:3" ht="15">
      <c r="A1728" s="113" t="s">
        <v>317</v>
      </c>
      <c r="B1728" s="112" t="s">
        <v>2376</v>
      </c>
      <c r="C1728" s="116" t="s">
        <v>1177</v>
      </c>
    </row>
    <row r="1729" spans="1:3" ht="15">
      <c r="A1729" s="113" t="s">
        <v>317</v>
      </c>
      <c r="B1729" s="112" t="s">
        <v>4054</v>
      </c>
      <c r="C1729" s="116" t="s">
        <v>1177</v>
      </c>
    </row>
    <row r="1730" spans="1:3" ht="15">
      <c r="A1730" s="113" t="s">
        <v>317</v>
      </c>
      <c r="B1730" s="112" t="s">
        <v>4055</v>
      </c>
      <c r="C1730" s="116" t="s">
        <v>1177</v>
      </c>
    </row>
    <row r="1731" spans="1:3" ht="15">
      <c r="A1731" s="113" t="s">
        <v>317</v>
      </c>
      <c r="B1731" s="112" t="s">
        <v>2653</v>
      </c>
      <c r="C1731" s="116" t="s">
        <v>1177</v>
      </c>
    </row>
    <row r="1732" spans="1:3" ht="15">
      <c r="A1732" s="113" t="s">
        <v>317</v>
      </c>
      <c r="B1732" s="112" t="s">
        <v>4056</v>
      </c>
      <c r="C1732" s="116" t="s">
        <v>1177</v>
      </c>
    </row>
    <row r="1733" spans="1:3" ht="15">
      <c r="A1733" s="113" t="s">
        <v>317</v>
      </c>
      <c r="B1733" s="112" t="s">
        <v>4057</v>
      </c>
      <c r="C1733" s="116" t="s">
        <v>1177</v>
      </c>
    </row>
    <row r="1734" spans="1:3" ht="15">
      <c r="A1734" s="113" t="s">
        <v>317</v>
      </c>
      <c r="B1734" s="112">
        <v>2022</v>
      </c>
      <c r="C1734" s="116" t="s">
        <v>1177</v>
      </c>
    </row>
    <row r="1735" spans="1:3" ht="15">
      <c r="A1735" s="113" t="s">
        <v>317</v>
      </c>
      <c r="B1735" s="112" t="s">
        <v>2378</v>
      </c>
      <c r="C1735" s="116" t="s">
        <v>1177</v>
      </c>
    </row>
    <row r="1736" spans="1:3" ht="15">
      <c r="A1736" s="113" t="s">
        <v>317</v>
      </c>
      <c r="B1736" s="112" t="s">
        <v>2695</v>
      </c>
      <c r="C1736" s="116" t="s">
        <v>1177</v>
      </c>
    </row>
    <row r="1737" spans="1:3" ht="15">
      <c r="A1737" s="113" t="s">
        <v>317</v>
      </c>
      <c r="B1737" s="112" t="s">
        <v>4058</v>
      </c>
      <c r="C1737" s="116" t="s">
        <v>1177</v>
      </c>
    </row>
    <row r="1738" spans="1:3" ht="15">
      <c r="A1738" s="113" t="s">
        <v>317</v>
      </c>
      <c r="B1738" s="112" t="s">
        <v>2668</v>
      </c>
      <c r="C1738" s="116" t="s">
        <v>1177</v>
      </c>
    </row>
    <row r="1739" spans="1:3" ht="15">
      <c r="A1739" s="113" t="s">
        <v>317</v>
      </c>
      <c r="B1739" s="112" t="s">
        <v>2649</v>
      </c>
      <c r="C1739" s="116" t="s">
        <v>1177</v>
      </c>
    </row>
    <row r="1740" spans="1:3" ht="15">
      <c r="A1740" s="113" t="s">
        <v>317</v>
      </c>
      <c r="B1740" s="112" t="s">
        <v>3003</v>
      </c>
      <c r="C1740" s="116" t="s">
        <v>1177</v>
      </c>
    </row>
    <row r="1741" spans="1:3" ht="15">
      <c r="A1741" s="113" t="s">
        <v>317</v>
      </c>
      <c r="B1741" s="112" t="s">
        <v>681</v>
      </c>
      <c r="C1741" s="116" t="s">
        <v>1177</v>
      </c>
    </row>
    <row r="1742" spans="1:3" ht="15">
      <c r="A1742" s="113" t="s">
        <v>317</v>
      </c>
      <c r="B1742" s="112" t="s">
        <v>470</v>
      </c>
      <c r="C1742" s="116" t="s">
        <v>1177</v>
      </c>
    </row>
    <row r="1743" spans="1:3" ht="15">
      <c r="A1743" s="113" t="s">
        <v>317</v>
      </c>
      <c r="B1743" s="112" t="s">
        <v>4059</v>
      </c>
      <c r="C1743" s="116" t="s">
        <v>1177</v>
      </c>
    </row>
    <row r="1744" spans="1:3" ht="15">
      <c r="A1744" s="113" t="s">
        <v>317</v>
      </c>
      <c r="B1744" s="112" t="s">
        <v>4060</v>
      </c>
      <c r="C1744" s="116" t="s">
        <v>1177</v>
      </c>
    </row>
    <row r="1745" spans="1:3" ht="15">
      <c r="A1745" s="113" t="s">
        <v>317</v>
      </c>
      <c r="B1745" s="112" t="s">
        <v>471</v>
      </c>
      <c r="C1745" s="116" t="s">
        <v>1177</v>
      </c>
    </row>
    <row r="1746" spans="1:3" ht="15">
      <c r="A1746" s="113" t="s">
        <v>317</v>
      </c>
      <c r="B1746" s="112" t="s">
        <v>4061</v>
      </c>
      <c r="C1746" s="116" t="s">
        <v>1177</v>
      </c>
    </row>
    <row r="1747" spans="1:3" ht="15">
      <c r="A1747" s="113" t="s">
        <v>317</v>
      </c>
      <c r="B1747" s="112" t="s">
        <v>472</v>
      </c>
      <c r="C1747" s="116" t="s">
        <v>1177</v>
      </c>
    </row>
    <row r="1748" spans="1:3" ht="15">
      <c r="A1748" s="113" t="s">
        <v>317</v>
      </c>
      <c r="B1748" s="112" t="s">
        <v>473</v>
      </c>
      <c r="C1748" s="116" t="s">
        <v>1177</v>
      </c>
    </row>
    <row r="1749" spans="1:3" ht="15">
      <c r="A1749" s="113" t="s">
        <v>317</v>
      </c>
      <c r="B1749" s="112" t="s">
        <v>474</v>
      </c>
      <c r="C1749" s="116" t="s">
        <v>1177</v>
      </c>
    </row>
    <row r="1750" spans="1:3" ht="15">
      <c r="A1750" s="113" t="s">
        <v>317</v>
      </c>
      <c r="B1750" s="112" t="s">
        <v>475</v>
      </c>
      <c r="C1750" s="116" t="s">
        <v>1177</v>
      </c>
    </row>
    <row r="1751" spans="1:3" ht="15">
      <c r="A1751" s="113" t="s">
        <v>328</v>
      </c>
      <c r="B1751" s="112" t="s">
        <v>356</v>
      </c>
      <c r="C1751" s="116" t="s">
        <v>1189</v>
      </c>
    </row>
    <row r="1752" spans="1:3" ht="15">
      <c r="A1752" s="113" t="s">
        <v>328</v>
      </c>
      <c r="B1752" s="112" t="s">
        <v>4062</v>
      </c>
      <c r="C1752" s="116" t="s">
        <v>1189</v>
      </c>
    </row>
    <row r="1753" spans="1:3" ht="15">
      <c r="A1753" s="113" t="s">
        <v>328</v>
      </c>
      <c r="B1753" s="112" t="s">
        <v>2378</v>
      </c>
      <c r="C1753" s="116" t="s">
        <v>1189</v>
      </c>
    </row>
    <row r="1754" spans="1:3" ht="15">
      <c r="A1754" s="113" t="s">
        <v>328</v>
      </c>
      <c r="B1754" s="112" t="s">
        <v>4063</v>
      </c>
      <c r="C1754" s="116" t="s">
        <v>1189</v>
      </c>
    </row>
    <row r="1755" spans="1:3" ht="15">
      <c r="A1755" s="113" t="s">
        <v>328</v>
      </c>
      <c r="B1755" s="112" t="s">
        <v>2730</v>
      </c>
      <c r="C1755" s="116" t="s">
        <v>1189</v>
      </c>
    </row>
    <row r="1756" spans="1:3" ht="15">
      <c r="A1756" s="113" t="s">
        <v>328</v>
      </c>
      <c r="B1756" s="112" t="s">
        <v>2697</v>
      </c>
      <c r="C1756" s="116" t="s">
        <v>1189</v>
      </c>
    </row>
    <row r="1757" spans="1:3" ht="15">
      <c r="A1757" s="113" t="s">
        <v>328</v>
      </c>
      <c r="B1757" s="112" t="s">
        <v>2685</v>
      </c>
      <c r="C1757" s="116" t="s">
        <v>1189</v>
      </c>
    </row>
    <row r="1758" spans="1:3" ht="15">
      <c r="A1758" s="113" t="s">
        <v>328</v>
      </c>
      <c r="B1758" s="112" t="s">
        <v>2690</v>
      </c>
      <c r="C1758" s="116" t="s">
        <v>1189</v>
      </c>
    </row>
    <row r="1759" spans="1:3" ht="15">
      <c r="A1759" s="113" t="s">
        <v>328</v>
      </c>
      <c r="B1759" s="112" t="s">
        <v>4064</v>
      </c>
      <c r="C1759" s="116" t="s">
        <v>1189</v>
      </c>
    </row>
    <row r="1760" spans="1:3" ht="15">
      <c r="A1760" s="113" t="s">
        <v>328</v>
      </c>
      <c r="B1760" s="112" t="s">
        <v>2681</v>
      </c>
      <c r="C1760" s="116" t="s">
        <v>1189</v>
      </c>
    </row>
    <row r="1761" spans="1:3" ht="15">
      <c r="A1761" s="113" t="s">
        <v>328</v>
      </c>
      <c r="B1761" s="112" t="s">
        <v>4065</v>
      </c>
      <c r="C1761" s="116" t="s">
        <v>1189</v>
      </c>
    </row>
    <row r="1762" spans="1:3" ht="15">
      <c r="A1762" s="113" t="s">
        <v>328</v>
      </c>
      <c r="B1762" s="112" t="s">
        <v>2692</v>
      </c>
      <c r="C1762" s="116" t="s">
        <v>1189</v>
      </c>
    </row>
    <row r="1763" spans="1:3" ht="15">
      <c r="A1763" s="113" t="s">
        <v>328</v>
      </c>
      <c r="B1763" s="112" t="s">
        <v>2767</v>
      </c>
      <c r="C1763" s="116" t="s">
        <v>1189</v>
      </c>
    </row>
    <row r="1764" spans="1:3" ht="15">
      <c r="A1764" s="113" t="s">
        <v>328</v>
      </c>
      <c r="B1764" s="112" t="s">
        <v>2939</v>
      </c>
      <c r="C1764" s="116" t="s">
        <v>1189</v>
      </c>
    </row>
    <row r="1765" spans="1:3" ht="15">
      <c r="A1765" s="113" t="s">
        <v>224</v>
      </c>
      <c r="B1765" s="112" t="s">
        <v>2710</v>
      </c>
      <c r="C1765" s="116" t="s">
        <v>1023</v>
      </c>
    </row>
    <row r="1766" spans="1:3" ht="15">
      <c r="A1766" s="113" t="s">
        <v>224</v>
      </c>
      <c r="B1766" s="112" t="s">
        <v>681</v>
      </c>
      <c r="C1766" s="116" t="s">
        <v>1023</v>
      </c>
    </row>
    <row r="1767" spans="1:3" ht="15">
      <c r="A1767" s="113" t="s">
        <v>224</v>
      </c>
      <c r="B1767" s="112" t="s">
        <v>4066</v>
      </c>
      <c r="C1767" s="116" t="s">
        <v>1023</v>
      </c>
    </row>
    <row r="1768" spans="1:3" ht="15">
      <c r="A1768" s="113" t="s">
        <v>224</v>
      </c>
      <c r="B1768" s="112" t="s">
        <v>2997</v>
      </c>
      <c r="C1768" s="116" t="s">
        <v>1023</v>
      </c>
    </row>
    <row r="1769" spans="1:3" ht="15">
      <c r="A1769" s="113" t="s">
        <v>224</v>
      </c>
      <c r="B1769" s="112" t="s">
        <v>4067</v>
      </c>
      <c r="C1769" s="116" t="s">
        <v>1023</v>
      </c>
    </row>
    <row r="1770" spans="1:3" ht="15">
      <c r="A1770" s="113" t="s">
        <v>224</v>
      </c>
      <c r="B1770" s="112" t="s">
        <v>2796</v>
      </c>
      <c r="C1770" s="116" t="s">
        <v>1023</v>
      </c>
    </row>
    <row r="1771" spans="1:3" ht="15">
      <c r="A1771" s="113" t="s">
        <v>224</v>
      </c>
      <c r="B1771" s="112">
        <v>1</v>
      </c>
      <c r="C1771" s="116" t="s">
        <v>1023</v>
      </c>
    </row>
    <row r="1772" spans="1:3" ht="15">
      <c r="A1772" s="113" t="s">
        <v>224</v>
      </c>
      <c r="B1772" s="112" t="s">
        <v>2716</v>
      </c>
      <c r="C1772" s="116" t="s">
        <v>1023</v>
      </c>
    </row>
    <row r="1773" spans="1:3" ht="15">
      <c r="A1773" s="113" t="s">
        <v>224</v>
      </c>
      <c r="B1773" s="112" t="s">
        <v>2640</v>
      </c>
      <c r="C1773" s="116" t="s">
        <v>1023</v>
      </c>
    </row>
    <row r="1774" spans="1:3" ht="15">
      <c r="A1774" s="113" t="s">
        <v>224</v>
      </c>
      <c r="B1774" s="112" t="s">
        <v>4068</v>
      </c>
      <c r="C1774" s="116" t="s">
        <v>1023</v>
      </c>
    </row>
    <row r="1775" spans="1:3" ht="15">
      <c r="A1775" s="113" t="s">
        <v>224</v>
      </c>
      <c r="B1775" s="112" t="s">
        <v>2648</v>
      </c>
      <c r="C1775" s="116" t="s">
        <v>1023</v>
      </c>
    </row>
    <row r="1776" spans="1:3" ht="15">
      <c r="A1776" s="113" t="s">
        <v>224</v>
      </c>
      <c r="B1776" s="112" t="s">
        <v>2813</v>
      </c>
      <c r="C1776" s="116" t="s">
        <v>1023</v>
      </c>
    </row>
    <row r="1777" spans="1:3" ht="15">
      <c r="A1777" s="113" t="s">
        <v>224</v>
      </c>
      <c r="B1777" s="112" t="s">
        <v>4069</v>
      </c>
      <c r="C1777" s="116" t="s">
        <v>1023</v>
      </c>
    </row>
    <row r="1778" spans="1:3" ht="15">
      <c r="A1778" s="113" t="s">
        <v>224</v>
      </c>
      <c r="B1778" s="112" t="s">
        <v>4070</v>
      </c>
      <c r="C1778" s="116" t="s">
        <v>1023</v>
      </c>
    </row>
    <row r="1779" spans="1:3" ht="15">
      <c r="A1779" s="113" t="s">
        <v>224</v>
      </c>
      <c r="B1779" s="112" t="s">
        <v>4071</v>
      </c>
      <c r="C1779" s="116" t="s">
        <v>1023</v>
      </c>
    </row>
    <row r="1780" spans="1:3" ht="15">
      <c r="A1780" s="113" t="s">
        <v>224</v>
      </c>
      <c r="B1780" s="112" t="s">
        <v>4072</v>
      </c>
      <c r="C1780" s="116" t="s">
        <v>1023</v>
      </c>
    </row>
    <row r="1781" spans="1:3" ht="15">
      <c r="A1781" s="113" t="s">
        <v>224</v>
      </c>
      <c r="B1781" s="112" t="s">
        <v>3012</v>
      </c>
      <c r="C1781" s="116" t="s">
        <v>1023</v>
      </c>
    </row>
    <row r="1782" spans="1:3" ht="15">
      <c r="A1782" s="113" t="s">
        <v>224</v>
      </c>
      <c r="B1782" s="112" t="s">
        <v>2918</v>
      </c>
      <c r="C1782" s="116" t="s">
        <v>1023</v>
      </c>
    </row>
    <row r="1783" spans="1:3" ht="15">
      <c r="A1783" s="113" t="s">
        <v>224</v>
      </c>
      <c r="B1783" s="112" t="s">
        <v>2935</v>
      </c>
      <c r="C1783" s="116" t="s">
        <v>1023</v>
      </c>
    </row>
    <row r="1784" spans="1:3" ht="15">
      <c r="A1784" s="113" t="s">
        <v>224</v>
      </c>
      <c r="B1784" s="112" t="s">
        <v>2378</v>
      </c>
      <c r="C1784" s="116" t="s">
        <v>1023</v>
      </c>
    </row>
    <row r="1785" spans="1:3" ht="15">
      <c r="A1785" s="113" t="s">
        <v>224</v>
      </c>
      <c r="B1785" s="112" t="s">
        <v>4073</v>
      </c>
      <c r="C1785" s="116" t="s">
        <v>1023</v>
      </c>
    </row>
    <row r="1786" spans="1:3" ht="15">
      <c r="A1786" s="113" t="s">
        <v>224</v>
      </c>
      <c r="B1786" s="112" t="s">
        <v>2704</v>
      </c>
      <c r="C1786" s="116" t="s">
        <v>1023</v>
      </c>
    </row>
    <row r="1787" spans="1:3" ht="15">
      <c r="A1787" s="113" t="s">
        <v>224</v>
      </c>
      <c r="B1787" s="112" t="s">
        <v>2374</v>
      </c>
      <c r="C1787" s="116" t="s">
        <v>1023</v>
      </c>
    </row>
    <row r="1788" spans="1:3" ht="15">
      <c r="A1788" s="113" t="s">
        <v>224</v>
      </c>
      <c r="B1788" s="112" t="s">
        <v>2373</v>
      </c>
      <c r="C1788" s="116" t="s">
        <v>1023</v>
      </c>
    </row>
    <row r="1789" spans="1:3" ht="15">
      <c r="A1789" s="113" t="s">
        <v>224</v>
      </c>
      <c r="B1789" s="112" t="s">
        <v>2888</v>
      </c>
      <c r="C1789" s="116" t="s">
        <v>1023</v>
      </c>
    </row>
    <row r="1790" spans="1:3" ht="15">
      <c r="A1790" s="113" t="s">
        <v>224</v>
      </c>
      <c r="B1790" s="112" t="s">
        <v>2804</v>
      </c>
      <c r="C1790" s="116" t="s">
        <v>1023</v>
      </c>
    </row>
    <row r="1791" spans="1:3" ht="15">
      <c r="A1791" s="113" t="s">
        <v>224</v>
      </c>
      <c r="B1791" s="112" t="s">
        <v>4074</v>
      </c>
      <c r="C1791" s="116" t="s">
        <v>1023</v>
      </c>
    </row>
    <row r="1792" spans="1:3" ht="15">
      <c r="A1792" s="113" t="s">
        <v>224</v>
      </c>
      <c r="B1792" s="112" t="s">
        <v>2896</v>
      </c>
      <c r="C1792" s="116" t="s">
        <v>1023</v>
      </c>
    </row>
    <row r="1793" spans="1:3" ht="15">
      <c r="A1793" s="113" t="s">
        <v>224</v>
      </c>
      <c r="B1793" s="112" t="s">
        <v>345</v>
      </c>
      <c r="C1793" s="116" t="s">
        <v>1023</v>
      </c>
    </row>
    <row r="1794" spans="1:3" ht="15">
      <c r="A1794" s="113" t="s">
        <v>231</v>
      </c>
      <c r="B1794" s="112" t="s">
        <v>2434</v>
      </c>
      <c r="C1794" s="116" t="s">
        <v>1039</v>
      </c>
    </row>
    <row r="1795" spans="1:3" ht="15">
      <c r="A1795" s="113" t="s">
        <v>231</v>
      </c>
      <c r="B1795" s="112" t="s">
        <v>2374</v>
      </c>
      <c r="C1795" s="116" t="s">
        <v>1039</v>
      </c>
    </row>
    <row r="1796" spans="1:3" ht="15">
      <c r="A1796" s="113" t="s">
        <v>231</v>
      </c>
      <c r="B1796" s="112" t="s">
        <v>2373</v>
      </c>
      <c r="C1796" s="116" t="s">
        <v>1039</v>
      </c>
    </row>
    <row r="1797" spans="1:3" ht="15">
      <c r="A1797" s="113" t="s">
        <v>231</v>
      </c>
      <c r="B1797" s="112" t="s">
        <v>681</v>
      </c>
      <c r="C1797" s="116" t="s">
        <v>1039</v>
      </c>
    </row>
    <row r="1798" spans="1:3" ht="15">
      <c r="A1798" s="113" t="s">
        <v>245</v>
      </c>
      <c r="B1798" s="112" t="s">
        <v>2374</v>
      </c>
      <c r="C1798" s="116" t="s">
        <v>1058</v>
      </c>
    </row>
    <row r="1799" spans="1:3" ht="15">
      <c r="A1799" s="113" t="s">
        <v>245</v>
      </c>
      <c r="B1799" s="112" t="s">
        <v>2373</v>
      </c>
      <c r="C1799" s="116" t="s">
        <v>1058</v>
      </c>
    </row>
    <row r="1800" spans="1:3" ht="15">
      <c r="A1800" s="113" t="s">
        <v>245</v>
      </c>
      <c r="B1800" s="112" t="s">
        <v>681</v>
      </c>
      <c r="C1800" s="116" t="s">
        <v>1058</v>
      </c>
    </row>
    <row r="1801" spans="1:3" ht="15">
      <c r="A1801" s="113" t="s">
        <v>245</v>
      </c>
      <c r="B1801" s="112" t="s">
        <v>358</v>
      </c>
      <c r="C1801" s="116" t="s">
        <v>1058</v>
      </c>
    </row>
    <row r="1802" spans="1:3" ht="15">
      <c r="A1802" s="113" t="s">
        <v>339</v>
      </c>
      <c r="B1802" s="112" t="s">
        <v>4075</v>
      </c>
      <c r="C1802" s="116" t="s">
        <v>1216</v>
      </c>
    </row>
    <row r="1803" spans="1:3" ht="15">
      <c r="A1803" s="113" t="s">
        <v>339</v>
      </c>
      <c r="B1803" s="112" t="s">
        <v>4076</v>
      </c>
      <c r="C1803" s="116" t="s">
        <v>1216</v>
      </c>
    </row>
    <row r="1804" spans="1:3" ht="15">
      <c r="A1804" s="113" t="s">
        <v>339</v>
      </c>
      <c r="B1804" s="112" t="s">
        <v>2378</v>
      </c>
      <c r="C1804" s="116" t="s">
        <v>1216</v>
      </c>
    </row>
    <row r="1805" spans="1:3" ht="15">
      <c r="A1805" s="113" t="s">
        <v>339</v>
      </c>
      <c r="B1805" s="112" t="s">
        <v>2704</v>
      </c>
      <c r="C1805" s="116" t="s">
        <v>1216</v>
      </c>
    </row>
    <row r="1806" spans="1:3" ht="15">
      <c r="A1806" s="113" t="s">
        <v>339</v>
      </c>
      <c r="B1806" s="112" t="s">
        <v>4077</v>
      </c>
      <c r="C1806" s="116" t="s">
        <v>1216</v>
      </c>
    </row>
    <row r="1807" spans="1:3" ht="15">
      <c r="A1807" s="113" t="s">
        <v>339</v>
      </c>
      <c r="B1807" s="112" t="s">
        <v>4078</v>
      </c>
      <c r="C1807" s="116" t="s">
        <v>1216</v>
      </c>
    </row>
    <row r="1808" spans="1:3" ht="15">
      <c r="A1808" s="113" t="s">
        <v>339</v>
      </c>
      <c r="B1808" s="112" t="s">
        <v>4079</v>
      </c>
      <c r="C1808" s="116" t="s">
        <v>1216</v>
      </c>
    </row>
    <row r="1809" spans="1:3" ht="15">
      <c r="A1809" s="113" t="s">
        <v>339</v>
      </c>
      <c r="B1809" s="112" t="s">
        <v>2958</v>
      </c>
      <c r="C1809" s="116" t="s">
        <v>1216</v>
      </c>
    </row>
    <row r="1810" spans="1:3" ht="15">
      <c r="A1810" s="113" t="s">
        <v>339</v>
      </c>
      <c r="B1810" s="112" t="s">
        <v>2870</v>
      </c>
      <c r="C1810" s="116" t="s">
        <v>1216</v>
      </c>
    </row>
    <row r="1811" spans="1:3" ht="15">
      <c r="A1811" s="113" t="s">
        <v>339</v>
      </c>
      <c r="B1811" s="112" t="s">
        <v>4080</v>
      </c>
      <c r="C1811" s="116" t="s">
        <v>1216</v>
      </c>
    </row>
    <row r="1812" spans="1:3" ht="15">
      <c r="A1812" s="113" t="s">
        <v>339</v>
      </c>
      <c r="B1812" s="112" t="s">
        <v>4081</v>
      </c>
      <c r="C1812" s="116" t="s">
        <v>1216</v>
      </c>
    </row>
    <row r="1813" spans="1:3" ht="15">
      <c r="A1813" s="113" t="s">
        <v>339</v>
      </c>
      <c r="B1813" s="112" t="s">
        <v>4082</v>
      </c>
      <c r="C1813" s="116" t="s">
        <v>1216</v>
      </c>
    </row>
    <row r="1814" spans="1:3" ht="15">
      <c r="A1814" s="113" t="s">
        <v>339</v>
      </c>
      <c r="B1814" s="112" t="s">
        <v>4083</v>
      </c>
      <c r="C1814" s="116" t="s">
        <v>1216</v>
      </c>
    </row>
    <row r="1815" spans="1:3" ht="15">
      <c r="A1815" s="113" t="s">
        <v>339</v>
      </c>
      <c r="B1815" s="112" t="s">
        <v>2697</v>
      </c>
      <c r="C1815" s="116" t="s">
        <v>1216</v>
      </c>
    </row>
    <row r="1816" spans="1:3" ht="15">
      <c r="A1816" s="113" t="s">
        <v>339</v>
      </c>
      <c r="B1816" s="112" t="s">
        <v>2825</v>
      </c>
      <c r="C1816" s="116" t="s">
        <v>1216</v>
      </c>
    </row>
    <row r="1817" spans="1:3" ht="15">
      <c r="A1817" s="113" t="s">
        <v>250</v>
      </c>
      <c r="B1817" s="112" t="s">
        <v>2374</v>
      </c>
      <c r="C1817" s="116" t="s">
        <v>1072</v>
      </c>
    </row>
    <row r="1818" spans="1:3" ht="15">
      <c r="A1818" s="113" t="s">
        <v>250</v>
      </c>
      <c r="B1818" s="112" t="s">
        <v>4084</v>
      </c>
      <c r="C1818" s="116" t="s">
        <v>1072</v>
      </c>
    </row>
    <row r="1819" spans="1:3" ht="15">
      <c r="A1819" s="113" t="s">
        <v>250</v>
      </c>
      <c r="B1819" s="112" t="s">
        <v>2846</v>
      </c>
      <c r="C1819" s="116" t="s">
        <v>1072</v>
      </c>
    </row>
    <row r="1820" spans="1:3" ht="15">
      <c r="A1820" s="113" t="s">
        <v>250</v>
      </c>
      <c r="B1820" s="112" t="s">
        <v>2373</v>
      </c>
      <c r="C1820" s="116" t="s">
        <v>1072</v>
      </c>
    </row>
    <row r="1821" spans="1:3" ht="15">
      <c r="A1821" s="113" t="s">
        <v>250</v>
      </c>
      <c r="B1821" s="112" t="s">
        <v>681</v>
      </c>
      <c r="C1821" s="116" t="s">
        <v>1072</v>
      </c>
    </row>
    <row r="1822" spans="1:3" ht="15">
      <c r="A1822" s="113" t="s">
        <v>250</v>
      </c>
      <c r="B1822" s="112" t="s">
        <v>4085</v>
      </c>
      <c r="C1822" s="116" t="s">
        <v>1072</v>
      </c>
    </row>
    <row r="1823" spans="1:3" ht="15">
      <c r="A1823" s="113" t="s">
        <v>250</v>
      </c>
      <c r="B1823" s="112" t="s">
        <v>2649</v>
      </c>
      <c r="C1823" s="116" t="s">
        <v>1072</v>
      </c>
    </row>
    <row r="1824" spans="1:3" ht="15">
      <c r="A1824" s="113" t="s">
        <v>250</v>
      </c>
      <c r="B1824" s="112">
        <v>1</v>
      </c>
      <c r="C1824" s="116" t="s">
        <v>1072</v>
      </c>
    </row>
    <row r="1825" spans="1:3" ht="15">
      <c r="A1825" s="113" t="s">
        <v>250</v>
      </c>
      <c r="B1825" s="112" t="s">
        <v>2381</v>
      </c>
      <c r="C1825" s="116" t="s">
        <v>1072</v>
      </c>
    </row>
    <row r="1826" spans="1:3" ht="15">
      <c r="A1826" s="113" t="s">
        <v>250</v>
      </c>
      <c r="B1826" s="112" t="s">
        <v>2951</v>
      </c>
      <c r="C1826" s="116" t="s">
        <v>1072</v>
      </c>
    </row>
    <row r="1827" spans="1:3" ht="15">
      <c r="A1827" s="113" t="s">
        <v>250</v>
      </c>
      <c r="B1827" s="112" t="s">
        <v>3008</v>
      </c>
      <c r="C1827" s="116" t="s">
        <v>1072</v>
      </c>
    </row>
    <row r="1828" spans="1:3" ht="15">
      <c r="A1828" s="113" t="s">
        <v>250</v>
      </c>
      <c r="B1828" s="112" t="s">
        <v>364</v>
      </c>
      <c r="C1828" s="116" t="s">
        <v>1072</v>
      </c>
    </row>
    <row r="1829" spans="1:3" ht="15">
      <c r="A1829" s="113" t="s">
        <v>250</v>
      </c>
      <c r="B1829" s="112" t="s">
        <v>3350</v>
      </c>
      <c r="C1829" s="116" t="s">
        <v>1072</v>
      </c>
    </row>
    <row r="1830" spans="1:3" ht="15">
      <c r="A1830" s="113" t="s">
        <v>250</v>
      </c>
      <c r="B1830" s="112" t="s">
        <v>3349</v>
      </c>
      <c r="C1830" s="116" t="s">
        <v>1072</v>
      </c>
    </row>
    <row r="1831" spans="1:3" ht="15">
      <c r="A1831" s="113" t="s">
        <v>250</v>
      </c>
      <c r="B1831" s="112" t="s">
        <v>365</v>
      </c>
      <c r="C1831" s="116" t="s">
        <v>1072</v>
      </c>
    </row>
    <row r="1832" spans="1:3" ht="15">
      <c r="A1832" s="113" t="s">
        <v>250</v>
      </c>
      <c r="B1832" s="112" t="s">
        <v>366</v>
      </c>
      <c r="C1832" s="116" t="s">
        <v>1072</v>
      </c>
    </row>
    <row r="1833" spans="1:3" ht="15">
      <c r="A1833" s="113" t="s">
        <v>250</v>
      </c>
      <c r="B1833" s="112" t="s">
        <v>367</v>
      </c>
      <c r="C1833" s="116" t="s">
        <v>1072</v>
      </c>
    </row>
    <row r="1834" spans="1:3" ht="15">
      <c r="A1834" s="113" t="s">
        <v>250</v>
      </c>
      <c r="B1834" s="112" t="s">
        <v>368</v>
      </c>
      <c r="C1834" s="116" t="s">
        <v>1072</v>
      </c>
    </row>
    <row r="1835" spans="1:3" ht="15">
      <c r="A1835" s="113" t="s">
        <v>250</v>
      </c>
      <c r="B1835" s="112" t="s">
        <v>3348</v>
      </c>
      <c r="C1835" s="116" t="s">
        <v>1072</v>
      </c>
    </row>
    <row r="1836" spans="1:3" ht="15">
      <c r="A1836" s="113" t="s">
        <v>250</v>
      </c>
      <c r="B1836" s="112" t="s">
        <v>369</v>
      </c>
      <c r="C1836" s="116" t="s">
        <v>1072</v>
      </c>
    </row>
    <row r="1837" spans="1:3" ht="15">
      <c r="A1837" s="113" t="s">
        <v>250</v>
      </c>
      <c r="B1837" s="112" t="s">
        <v>370</v>
      </c>
      <c r="C1837" s="116" t="s">
        <v>1072</v>
      </c>
    </row>
    <row r="1838" spans="1:3" ht="15">
      <c r="A1838" s="113" t="s">
        <v>250</v>
      </c>
      <c r="B1838" s="112" t="s">
        <v>371</v>
      </c>
      <c r="C1838" s="116" t="s">
        <v>1072</v>
      </c>
    </row>
    <row r="1839" spans="1:3" ht="15">
      <c r="A1839" s="113" t="s">
        <v>284</v>
      </c>
      <c r="B1839" s="112" t="s">
        <v>268</v>
      </c>
      <c r="C1839" s="116" t="s">
        <v>1130</v>
      </c>
    </row>
    <row r="1840" spans="1:3" ht="15">
      <c r="A1840" s="113" t="s">
        <v>284</v>
      </c>
      <c r="B1840" s="112" t="s">
        <v>318</v>
      </c>
      <c r="C1840" s="116" t="s">
        <v>1130</v>
      </c>
    </row>
    <row r="1841" spans="1:3" ht="15">
      <c r="A1841" s="113" t="s">
        <v>284</v>
      </c>
      <c r="B1841" s="112" t="s">
        <v>2380</v>
      </c>
      <c r="C1841" s="116" t="s">
        <v>1130</v>
      </c>
    </row>
    <row r="1842" spans="1:3" ht="15">
      <c r="A1842" s="113" t="s">
        <v>284</v>
      </c>
      <c r="B1842" s="112" t="s">
        <v>2374</v>
      </c>
      <c r="C1842" s="116" t="s">
        <v>1130</v>
      </c>
    </row>
    <row r="1843" spans="1:3" ht="15">
      <c r="A1843" s="113" t="s">
        <v>284</v>
      </c>
      <c r="B1843" s="112" t="s">
        <v>2373</v>
      </c>
      <c r="C1843" s="116" t="s">
        <v>1130</v>
      </c>
    </row>
    <row r="1844" spans="1:3" ht="15">
      <c r="A1844" s="113" t="s">
        <v>284</v>
      </c>
      <c r="B1844" s="112" t="s">
        <v>681</v>
      </c>
      <c r="C1844" s="116" t="s">
        <v>1130</v>
      </c>
    </row>
    <row r="1845" spans="1:3" ht="15">
      <c r="A1845" s="113" t="s">
        <v>284</v>
      </c>
      <c r="B1845" s="112" t="s">
        <v>417</v>
      </c>
      <c r="C1845" s="116" t="s">
        <v>1130</v>
      </c>
    </row>
    <row r="1846" spans="1:3" ht="15">
      <c r="A1846" s="113" t="s">
        <v>321</v>
      </c>
      <c r="B1846" s="112" t="s">
        <v>682</v>
      </c>
      <c r="C1846" s="116" t="s">
        <v>1182</v>
      </c>
    </row>
    <row r="1847" spans="1:3" ht="15">
      <c r="A1847" s="113" t="s">
        <v>321</v>
      </c>
      <c r="B1847" s="112" t="s">
        <v>2726</v>
      </c>
      <c r="C1847" s="116" t="s">
        <v>1182</v>
      </c>
    </row>
    <row r="1848" spans="1:3" ht="15">
      <c r="A1848" s="113" t="s">
        <v>321</v>
      </c>
      <c r="B1848" s="112" t="s">
        <v>2652</v>
      </c>
      <c r="C1848" s="116" t="s">
        <v>1182</v>
      </c>
    </row>
    <row r="1849" spans="1:3" ht="15">
      <c r="A1849" s="113" t="s">
        <v>321</v>
      </c>
      <c r="B1849" s="112" t="s">
        <v>4086</v>
      </c>
      <c r="C1849" s="116" t="s">
        <v>1182</v>
      </c>
    </row>
    <row r="1850" spans="1:3" ht="15">
      <c r="A1850" s="113" t="s">
        <v>321</v>
      </c>
      <c r="B1850" s="112" t="s">
        <v>476</v>
      </c>
      <c r="C1850" s="116" t="s">
        <v>1182</v>
      </c>
    </row>
    <row r="1851" spans="1:3" ht="15">
      <c r="A1851" s="113" t="s">
        <v>321</v>
      </c>
      <c r="B1851" s="112" t="s">
        <v>2638</v>
      </c>
      <c r="C1851" s="116" t="s">
        <v>1182</v>
      </c>
    </row>
    <row r="1852" spans="1:3" ht="15">
      <c r="A1852" s="113" t="s">
        <v>321</v>
      </c>
      <c r="B1852" s="112" t="s">
        <v>2668</v>
      </c>
      <c r="C1852" s="116" t="s">
        <v>1182</v>
      </c>
    </row>
    <row r="1853" spans="1:3" ht="15">
      <c r="A1853" s="113" t="s">
        <v>321</v>
      </c>
      <c r="B1853" s="112" t="s">
        <v>2670</v>
      </c>
      <c r="C1853" s="116" t="s">
        <v>1182</v>
      </c>
    </row>
    <row r="1854" spans="1:3" ht="15">
      <c r="A1854" s="113" t="s">
        <v>321</v>
      </c>
      <c r="B1854" s="112" t="s">
        <v>2672</v>
      </c>
      <c r="C1854" s="116" t="s">
        <v>1182</v>
      </c>
    </row>
    <row r="1855" spans="1:3" ht="15">
      <c r="A1855" s="113" t="s">
        <v>321</v>
      </c>
      <c r="B1855" s="112" t="s">
        <v>4087</v>
      </c>
      <c r="C1855" s="116" t="s">
        <v>1182</v>
      </c>
    </row>
    <row r="1856" spans="1:3" ht="15">
      <c r="A1856" s="113" t="s">
        <v>230</v>
      </c>
      <c r="B1856" s="112" t="s">
        <v>2922</v>
      </c>
      <c r="C1856" s="116" t="s">
        <v>1036</v>
      </c>
    </row>
    <row r="1857" spans="1:3" ht="15">
      <c r="A1857" s="113" t="s">
        <v>230</v>
      </c>
      <c r="B1857" s="112" t="s">
        <v>2983</v>
      </c>
      <c r="C1857" s="116" t="s">
        <v>1036</v>
      </c>
    </row>
    <row r="1858" spans="1:3" ht="15">
      <c r="A1858" s="113" t="s">
        <v>230</v>
      </c>
      <c r="B1858" s="112" t="s">
        <v>2752</v>
      </c>
      <c r="C1858" s="116" t="s">
        <v>1036</v>
      </c>
    </row>
    <row r="1859" spans="1:3" ht="15">
      <c r="A1859" s="113" t="s">
        <v>230</v>
      </c>
      <c r="B1859" s="112" t="s">
        <v>2660</v>
      </c>
      <c r="C1859" s="116" t="s">
        <v>1036</v>
      </c>
    </row>
    <row r="1860" spans="1:3" ht="15">
      <c r="A1860" s="113" t="s">
        <v>230</v>
      </c>
      <c r="B1860" s="112" t="s">
        <v>2924</v>
      </c>
      <c r="C1860" s="116" t="s">
        <v>1036</v>
      </c>
    </row>
    <row r="1861" spans="1:3" ht="15">
      <c r="A1861" s="113" t="s">
        <v>230</v>
      </c>
      <c r="B1861" s="112" t="s">
        <v>2687</v>
      </c>
      <c r="C1861" s="116" t="s">
        <v>1036</v>
      </c>
    </row>
    <row r="1862" spans="1:3" ht="15">
      <c r="A1862" s="113" t="s">
        <v>230</v>
      </c>
      <c r="B1862" s="112" t="s">
        <v>2967</v>
      </c>
      <c r="C1862" s="116" t="s">
        <v>1036</v>
      </c>
    </row>
    <row r="1863" spans="1:3" ht="15">
      <c r="A1863" s="113" t="s">
        <v>230</v>
      </c>
      <c r="B1863" s="112" t="s">
        <v>2704</v>
      </c>
      <c r="C1863" s="116" t="s">
        <v>1036</v>
      </c>
    </row>
    <row r="1864" spans="1:3" ht="15">
      <c r="A1864" s="113" t="s">
        <v>230</v>
      </c>
      <c r="B1864" s="112" t="s">
        <v>2671</v>
      </c>
      <c r="C1864" s="116" t="s">
        <v>1036</v>
      </c>
    </row>
    <row r="1865" spans="1:3" ht="15">
      <c r="A1865" s="113" t="s">
        <v>230</v>
      </c>
      <c r="B1865" s="112" t="s">
        <v>2688</v>
      </c>
      <c r="C1865" s="116" t="s">
        <v>1036</v>
      </c>
    </row>
    <row r="1866" spans="1:3" ht="15">
      <c r="A1866" s="113" t="s">
        <v>230</v>
      </c>
      <c r="B1866" s="112" t="s">
        <v>2376</v>
      </c>
      <c r="C1866" s="116" t="s">
        <v>1036</v>
      </c>
    </row>
    <row r="1867" spans="1:3" ht="15">
      <c r="A1867" s="113" t="s">
        <v>230</v>
      </c>
      <c r="B1867" s="112" t="s">
        <v>2374</v>
      </c>
      <c r="C1867" s="116" t="s">
        <v>1036</v>
      </c>
    </row>
    <row r="1868" spans="1:3" ht="15">
      <c r="A1868" s="113" t="s">
        <v>230</v>
      </c>
      <c r="B1868" s="112" t="s">
        <v>2645</v>
      </c>
      <c r="C1868" s="116" t="s">
        <v>1036</v>
      </c>
    </row>
    <row r="1869" spans="1:3" ht="15">
      <c r="A1869" s="113" t="s">
        <v>230</v>
      </c>
      <c r="B1869" s="112" t="s">
        <v>2373</v>
      </c>
      <c r="C1869" s="116" t="s">
        <v>1036</v>
      </c>
    </row>
    <row r="1870" spans="1:3" ht="15">
      <c r="A1870" s="113" t="s">
        <v>230</v>
      </c>
      <c r="B1870" s="112" t="s">
        <v>681</v>
      </c>
      <c r="C1870" s="116" t="s">
        <v>1036</v>
      </c>
    </row>
    <row r="1871" spans="1:3" ht="15">
      <c r="A1871" s="113" t="s">
        <v>230</v>
      </c>
      <c r="B1871" s="112" t="s">
        <v>2898</v>
      </c>
      <c r="C1871" s="116" t="s">
        <v>1036</v>
      </c>
    </row>
    <row r="1872" spans="1:3" ht="15">
      <c r="A1872" s="113" t="s">
        <v>230</v>
      </c>
      <c r="B1872" s="112" t="s">
        <v>2682</v>
      </c>
      <c r="C1872" s="116" t="s">
        <v>1036</v>
      </c>
    </row>
    <row r="1873" spans="1:3" ht="15">
      <c r="A1873" s="113" t="s">
        <v>230</v>
      </c>
      <c r="B1873" s="112" t="s">
        <v>4088</v>
      </c>
      <c r="C1873" s="116" t="s">
        <v>1036</v>
      </c>
    </row>
    <row r="1874" spans="1:3" ht="15">
      <c r="A1874" s="113" t="s">
        <v>230</v>
      </c>
      <c r="B1874" s="112" t="s">
        <v>2753</v>
      </c>
      <c r="C1874" s="116" t="s">
        <v>1036</v>
      </c>
    </row>
    <row r="1875" spans="1:3" ht="15">
      <c r="A1875" s="113" t="s">
        <v>230</v>
      </c>
      <c r="B1875" s="112" t="s">
        <v>2663</v>
      </c>
      <c r="C1875" s="116" t="s">
        <v>1036</v>
      </c>
    </row>
    <row r="1876" spans="1:3" ht="15">
      <c r="A1876" s="113" t="s">
        <v>230</v>
      </c>
      <c r="B1876" s="112" t="s">
        <v>2701</v>
      </c>
      <c r="C1876" s="116" t="s">
        <v>1036</v>
      </c>
    </row>
    <row r="1877" spans="1:3" ht="15">
      <c r="A1877" s="113" t="s">
        <v>230</v>
      </c>
      <c r="B1877" s="112" t="s">
        <v>288</v>
      </c>
      <c r="C1877" s="116" t="s">
        <v>1036</v>
      </c>
    </row>
    <row r="1878" spans="1:3" ht="15">
      <c r="A1878" s="113" t="s">
        <v>329</v>
      </c>
      <c r="B1878" s="112" t="s">
        <v>2639</v>
      </c>
      <c r="C1878" s="116" t="s">
        <v>1215</v>
      </c>
    </row>
    <row r="1879" spans="1:3" ht="15">
      <c r="A1879" s="113" t="s">
        <v>329</v>
      </c>
      <c r="B1879" s="112" t="s">
        <v>4089</v>
      </c>
      <c r="C1879" s="116" t="s">
        <v>1215</v>
      </c>
    </row>
    <row r="1880" spans="1:3" ht="15">
      <c r="A1880" s="113" t="s">
        <v>329</v>
      </c>
      <c r="B1880" s="112" t="s">
        <v>2376</v>
      </c>
      <c r="C1880" s="116" t="s">
        <v>1215</v>
      </c>
    </row>
    <row r="1881" spans="1:3" ht="15">
      <c r="A1881" s="113" t="s">
        <v>329</v>
      </c>
      <c r="B1881" s="112" t="s">
        <v>2737</v>
      </c>
      <c r="C1881" s="116" t="s">
        <v>1215</v>
      </c>
    </row>
    <row r="1882" spans="1:3" ht="15">
      <c r="A1882" s="113" t="s">
        <v>329</v>
      </c>
      <c r="B1882" s="112" t="s">
        <v>4090</v>
      </c>
      <c r="C1882" s="116" t="s">
        <v>1215</v>
      </c>
    </row>
    <row r="1883" spans="1:3" ht="15">
      <c r="A1883" s="113" t="s">
        <v>329</v>
      </c>
      <c r="B1883" s="112" t="s">
        <v>2778</v>
      </c>
      <c r="C1883" s="116" t="s">
        <v>1215</v>
      </c>
    </row>
    <row r="1884" spans="1:3" ht="15">
      <c r="A1884" s="113" t="s">
        <v>329</v>
      </c>
      <c r="B1884" s="112" t="s">
        <v>2904</v>
      </c>
      <c r="C1884" s="116" t="s">
        <v>1215</v>
      </c>
    </row>
    <row r="1885" spans="1:3" ht="15">
      <c r="A1885" s="113" t="s">
        <v>329</v>
      </c>
      <c r="B1885" s="112" t="s">
        <v>2843</v>
      </c>
      <c r="C1885" s="116" t="s">
        <v>1215</v>
      </c>
    </row>
    <row r="1886" spans="1:3" ht="15">
      <c r="A1886" s="113" t="s">
        <v>329</v>
      </c>
      <c r="B1886" s="112" t="s">
        <v>4091</v>
      </c>
      <c r="C1886" s="116" t="s">
        <v>1215</v>
      </c>
    </row>
    <row r="1887" spans="1:3" ht="15">
      <c r="A1887" s="113" t="s">
        <v>329</v>
      </c>
      <c r="B1887" s="112" t="s">
        <v>2647</v>
      </c>
      <c r="C1887" s="116" t="s">
        <v>1215</v>
      </c>
    </row>
    <row r="1888" spans="1:3" ht="15">
      <c r="A1888" s="113" t="s">
        <v>329</v>
      </c>
      <c r="B1888" s="112" t="s">
        <v>4092</v>
      </c>
      <c r="C1888" s="116" t="s">
        <v>1215</v>
      </c>
    </row>
    <row r="1889" spans="1:3" ht="15">
      <c r="A1889" s="113" t="s">
        <v>329</v>
      </c>
      <c r="B1889" s="112" t="s">
        <v>2381</v>
      </c>
      <c r="C1889" s="116" t="s">
        <v>1215</v>
      </c>
    </row>
    <row r="1890" spans="1:3" ht="15">
      <c r="A1890" s="113" t="s">
        <v>329</v>
      </c>
      <c r="B1890" s="112" t="s">
        <v>3023</v>
      </c>
      <c r="C1890" s="116" t="s">
        <v>1215</v>
      </c>
    </row>
    <row r="1891" spans="1:3" ht="15">
      <c r="A1891" s="113" t="s">
        <v>329</v>
      </c>
      <c r="B1891" s="112" t="s">
        <v>2755</v>
      </c>
      <c r="C1891" s="116" t="s">
        <v>1215</v>
      </c>
    </row>
    <row r="1892" spans="1:3" ht="15">
      <c r="A1892" s="113" t="s">
        <v>329</v>
      </c>
      <c r="B1892" s="112" t="s">
        <v>4093</v>
      </c>
      <c r="C1892" s="116" t="s">
        <v>1215</v>
      </c>
    </row>
    <row r="1893" spans="1:3" ht="15">
      <c r="A1893" s="113" t="s">
        <v>329</v>
      </c>
      <c r="B1893" s="112" t="s">
        <v>2849</v>
      </c>
      <c r="C1893" s="116" t="s">
        <v>1215</v>
      </c>
    </row>
    <row r="1894" spans="1:3" ht="15">
      <c r="A1894" s="113" t="s">
        <v>329</v>
      </c>
      <c r="B1894" s="112" t="s">
        <v>2790</v>
      </c>
      <c r="C1894" s="116" t="s">
        <v>1215</v>
      </c>
    </row>
    <row r="1895" spans="1:3" ht="15">
      <c r="A1895" s="113" t="s">
        <v>329</v>
      </c>
      <c r="B1895" s="112" t="s">
        <v>2374</v>
      </c>
      <c r="C1895" s="116" t="s">
        <v>1215</v>
      </c>
    </row>
    <row r="1896" spans="1:3" ht="15">
      <c r="A1896" s="113" t="s">
        <v>329</v>
      </c>
      <c r="B1896" s="112" t="s">
        <v>2373</v>
      </c>
      <c r="C1896" s="116" t="s">
        <v>1215</v>
      </c>
    </row>
    <row r="1897" spans="1:3" ht="15">
      <c r="A1897" s="113" t="s">
        <v>329</v>
      </c>
      <c r="B1897" s="112" t="s">
        <v>681</v>
      </c>
      <c r="C1897" s="116" t="s">
        <v>1215</v>
      </c>
    </row>
    <row r="1898" spans="1:3" ht="15">
      <c r="A1898" s="113" t="s">
        <v>329</v>
      </c>
      <c r="B1898" s="112" t="s">
        <v>4094</v>
      </c>
      <c r="C1898" s="116" t="s">
        <v>1215</v>
      </c>
    </row>
    <row r="1899" spans="1:3" ht="15">
      <c r="A1899" s="113" t="s">
        <v>336</v>
      </c>
      <c r="B1899" s="112" t="s">
        <v>4095</v>
      </c>
      <c r="C1899" s="116" t="s">
        <v>1208</v>
      </c>
    </row>
    <row r="1900" spans="1:3" ht="15">
      <c r="A1900" s="113" t="s">
        <v>336</v>
      </c>
      <c r="B1900" s="112" t="s">
        <v>2950</v>
      </c>
      <c r="C1900" s="116" t="s">
        <v>1208</v>
      </c>
    </row>
    <row r="1901" spans="1:3" ht="15">
      <c r="A1901" s="113" t="s">
        <v>336</v>
      </c>
      <c r="B1901" s="112" t="s">
        <v>2911</v>
      </c>
      <c r="C1901" s="116" t="s">
        <v>1208</v>
      </c>
    </row>
    <row r="1902" spans="1:3" ht="15">
      <c r="A1902" s="113" t="s">
        <v>336</v>
      </c>
      <c r="B1902" s="112" t="s">
        <v>4096</v>
      </c>
      <c r="C1902" s="116" t="s">
        <v>1208</v>
      </c>
    </row>
    <row r="1903" spans="1:3" ht="15">
      <c r="A1903" s="113" t="s">
        <v>336</v>
      </c>
      <c r="B1903" s="112">
        <v>20</v>
      </c>
      <c r="C1903" s="116" t="s">
        <v>1208</v>
      </c>
    </row>
    <row r="1904" spans="1:3" ht="15">
      <c r="A1904" s="113" t="s">
        <v>336</v>
      </c>
      <c r="B1904" s="112" t="s">
        <v>4097</v>
      </c>
      <c r="C1904" s="116" t="s">
        <v>1208</v>
      </c>
    </row>
    <row r="1905" spans="1:3" ht="15">
      <c r="A1905" s="113" t="s">
        <v>336</v>
      </c>
      <c r="B1905" s="112" t="s">
        <v>4098</v>
      </c>
      <c r="C1905" s="116" t="s">
        <v>1208</v>
      </c>
    </row>
    <row r="1906" spans="1:3" ht="15">
      <c r="A1906" s="113" t="s">
        <v>336</v>
      </c>
      <c r="B1906" s="112" t="s">
        <v>3001</v>
      </c>
      <c r="C1906" s="116" t="s">
        <v>1208</v>
      </c>
    </row>
    <row r="1907" spans="1:3" ht="15">
      <c r="A1907" s="113" t="s">
        <v>336</v>
      </c>
      <c r="B1907" s="112" t="s">
        <v>4099</v>
      </c>
      <c r="C1907" s="116" t="s">
        <v>1208</v>
      </c>
    </row>
    <row r="1908" spans="1:3" ht="15">
      <c r="A1908" s="113" t="s">
        <v>336</v>
      </c>
      <c r="B1908" s="112" t="s">
        <v>2860</v>
      </c>
      <c r="C1908" s="116" t="s">
        <v>1208</v>
      </c>
    </row>
    <row r="1909" spans="1:3" ht="15">
      <c r="A1909" s="113" t="s">
        <v>336</v>
      </c>
      <c r="B1909" s="112" t="s">
        <v>2777</v>
      </c>
      <c r="C1909" s="116" t="s">
        <v>1208</v>
      </c>
    </row>
    <row r="1910" spans="1:3" ht="15">
      <c r="A1910" s="113" t="s">
        <v>336</v>
      </c>
      <c r="B1910" s="112">
        <v>6</v>
      </c>
      <c r="C1910" s="116" t="s">
        <v>1208</v>
      </c>
    </row>
    <row r="1911" spans="1:3" ht="15">
      <c r="A1911" s="113" t="s">
        <v>336</v>
      </c>
      <c r="B1911" s="112" t="s">
        <v>4100</v>
      </c>
      <c r="C1911" s="116" t="s">
        <v>1208</v>
      </c>
    </row>
    <row r="1912" spans="1:3" ht="15">
      <c r="A1912" s="113" t="s">
        <v>336</v>
      </c>
      <c r="B1912" s="112">
        <v>167</v>
      </c>
      <c r="C1912" s="116" t="s">
        <v>1208</v>
      </c>
    </row>
    <row r="1913" spans="1:3" ht="15">
      <c r="A1913" s="113" t="s">
        <v>336</v>
      </c>
      <c r="B1913" s="112" t="s">
        <v>2808</v>
      </c>
      <c r="C1913" s="116" t="s">
        <v>1208</v>
      </c>
    </row>
    <row r="1914" spans="1:3" ht="15">
      <c r="A1914" s="113" t="s">
        <v>336</v>
      </c>
      <c r="B1914" s="112" t="s">
        <v>4101</v>
      </c>
      <c r="C1914" s="116" t="s">
        <v>1208</v>
      </c>
    </row>
    <row r="1915" spans="1:3" ht="15">
      <c r="A1915" s="113" t="s">
        <v>336</v>
      </c>
      <c r="B1915" s="112" t="s">
        <v>2886</v>
      </c>
      <c r="C1915" s="116" t="s">
        <v>1208</v>
      </c>
    </row>
    <row r="1916" spans="1:3" ht="15">
      <c r="A1916" s="113" t="s">
        <v>336</v>
      </c>
      <c r="B1916" s="112" t="s">
        <v>3018</v>
      </c>
      <c r="C1916" s="116" t="s">
        <v>1208</v>
      </c>
    </row>
    <row r="1917" spans="1:3" ht="15">
      <c r="A1917" s="113" t="s">
        <v>336</v>
      </c>
      <c r="B1917" s="112" t="s">
        <v>4102</v>
      </c>
      <c r="C1917" s="116" t="s">
        <v>1208</v>
      </c>
    </row>
    <row r="1918" spans="1:3" ht="15">
      <c r="A1918" s="113" t="s">
        <v>336</v>
      </c>
      <c r="B1918" s="112" t="s">
        <v>2709</v>
      </c>
      <c r="C1918" s="116" t="s">
        <v>1208</v>
      </c>
    </row>
    <row r="1919" spans="1:3" ht="15">
      <c r="A1919" s="113" t="s">
        <v>336</v>
      </c>
      <c r="B1919" s="112" t="s">
        <v>4103</v>
      </c>
      <c r="C1919" s="116" t="s">
        <v>1208</v>
      </c>
    </row>
    <row r="1920" spans="1:3" ht="15">
      <c r="A1920" s="113" t="s">
        <v>336</v>
      </c>
      <c r="B1920" s="112" t="s">
        <v>4104</v>
      </c>
      <c r="C1920" s="116" t="s">
        <v>1208</v>
      </c>
    </row>
    <row r="1921" spans="1:3" ht="15">
      <c r="A1921" s="113" t="s">
        <v>336</v>
      </c>
      <c r="B1921" s="112" t="s">
        <v>2871</v>
      </c>
      <c r="C1921" s="116" t="s">
        <v>1208</v>
      </c>
    </row>
    <row r="1922" spans="1:3" ht="15">
      <c r="A1922" s="113" t="s">
        <v>336</v>
      </c>
      <c r="B1922" s="112" t="s">
        <v>4105</v>
      </c>
      <c r="C1922" s="116" t="s">
        <v>1208</v>
      </c>
    </row>
    <row r="1923" spans="1:3" ht="15">
      <c r="A1923" s="113" t="s">
        <v>336</v>
      </c>
      <c r="B1923" s="112" t="s">
        <v>4106</v>
      </c>
      <c r="C1923" s="116" t="s">
        <v>1208</v>
      </c>
    </row>
    <row r="1924" spans="1:3" ht="15">
      <c r="A1924" s="113" t="s">
        <v>336</v>
      </c>
      <c r="B1924" s="112" t="s">
        <v>4107</v>
      </c>
      <c r="C1924" s="116" t="s">
        <v>1208</v>
      </c>
    </row>
    <row r="1925" spans="1:3" ht="15">
      <c r="A1925" s="113" t="s">
        <v>336</v>
      </c>
      <c r="B1925" s="112" t="s">
        <v>2905</v>
      </c>
      <c r="C1925" s="116" t="s">
        <v>1208</v>
      </c>
    </row>
    <row r="1926" spans="1:3" ht="15">
      <c r="A1926" s="113" t="s">
        <v>336</v>
      </c>
      <c r="B1926" s="112" t="s">
        <v>4108</v>
      </c>
      <c r="C1926" s="116" t="s">
        <v>1208</v>
      </c>
    </row>
    <row r="1927" spans="1:3" ht="15">
      <c r="A1927" s="113" t="s">
        <v>336</v>
      </c>
      <c r="B1927" s="112" t="s">
        <v>2377</v>
      </c>
      <c r="C1927" s="116" t="s">
        <v>1208</v>
      </c>
    </row>
    <row r="1928" spans="1:3" ht="15">
      <c r="A1928" s="113" t="s">
        <v>336</v>
      </c>
      <c r="B1928" s="112" t="s">
        <v>2853</v>
      </c>
      <c r="C1928" s="116" t="s">
        <v>1208</v>
      </c>
    </row>
    <row r="1929" spans="1:3" ht="15">
      <c r="A1929" s="113" t="s">
        <v>336</v>
      </c>
      <c r="B1929" s="112" t="s">
        <v>4109</v>
      </c>
      <c r="C1929" s="116" t="s">
        <v>1208</v>
      </c>
    </row>
    <row r="1930" spans="1:3" ht="15">
      <c r="A1930" s="113" t="s">
        <v>336</v>
      </c>
      <c r="B1930" s="112" t="s">
        <v>2636</v>
      </c>
      <c r="C1930" s="116" t="s">
        <v>1208</v>
      </c>
    </row>
    <row r="1931" spans="1:3" ht="15">
      <c r="A1931" s="113" t="s">
        <v>336</v>
      </c>
      <c r="B1931" s="112" t="s">
        <v>2974</v>
      </c>
      <c r="C1931" s="116" t="s">
        <v>1208</v>
      </c>
    </row>
    <row r="1932" spans="1:3" ht="15">
      <c r="A1932" s="113" t="s">
        <v>336</v>
      </c>
      <c r="B1932" s="112" t="s">
        <v>4110</v>
      </c>
      <c r="C1932" s="116" t="s">
        <v>1208</v>
      </c>
    </row>
    <row r="1933" spans="1:3" ht="15">
      <c r="A1933" s="113" t="s">
        <v>336</v>
      </c>
      <c r="B1933" s="112" t="s">
        <v>2768</v>
      </c>
      <c r="C1933" s="116" t="s">
        <v>1208</v>
      </c>
    </row>
    <row r="1934" spans="1:3" ht="15">
      <c r="A1934" s="113" t="s">
        <v>336</v>
      </c>
      <c r="B1934" s="112">
        <v>2024</v>
      </c>
      <c r="C1934" s="116" t="s">
        <v>1208</v>
      </c>
    </row>
    <row r="1935" spans="1:3" ht="15">
      <c r="A1935" s="113" t="s">
        <v>336</v>
      </c>
      <c r="B1935" s="112" t="s">
        <v>2654</v>
      </c>
      <c r="C1935" s="116" t="s">
        <v>1208</v>
      </c>
    </row>
    <row r="1936" spans="1:3" ht="15">
      <c r="A1936" s="113" t="s">
        <v>336</v>
      </c>
      <c r="B1936" s="112" t="s">
        <v>4111</v>
      </c>
      <c r="C1936" s="116" t="s">
        <v>1208</v>
      </c>
    </row>
    <row r="1937" spans="1:3" ht="15">
      <c r="A1937" s="113" t="s">
        <v>336</v>
      </c>
      <c r="B1937" s="112" t="s">
        <v>4112</v>
      </c>
      <c r="C1937" s="116" t="s">
        <v>1208</v>
      </c>
    </row>
    <row r="1938" spans="1:3" ht="15">
      <c r="A1938" s="113" t="s">
        <v>273</v>
      </c>
      <c r="B1938" s="112" t="s">
        <v>2379</v>
      </c>
      <c r="C1938" s="116" t="s">
        <v>1107</v>
      </c>
    </row>
    <row r="1939" spans="1:3" ht="15">
      <c r="A1939" s="113" t="s">
        <v>273</v>
      </c>
      <c r="B1939" s="112" t="s">
        <v>4113</v>
      </c>
      <c r="C1939" s="116" t="s">
        <v>1107</v>
      </c>
    </row>
    <row r="1940" spans="1:3" ht="15">
      <c r="A1940" s="113" t="s">
        <v>273</v>
      </c>
      <c r="B1940" s="112" t="s">
        <v>4114</v>
      </c>
      <c r="C1940" s="116" t="s">
        <v>1107</v>
      </c>
    </row>
    <row r="1941" spans="1:3" ht="15">
      <c r="A1941" s="113" t="s">
        <v>273</v>
      </c>
      <c r="B1941" s="112" t="s">
        <v>2774</v>
      </c>
      <c r="C1941" s="116" t="s">
        <v>1107</v>
      </c>
    </row>
    <row r="1942" spans="1:3" ht="15">
      <c r="A1942" s="113" t="s">
        <v>273</v>
      </c>
      <c r="B1942" s="112" t="s">
        <v>4115</v>
      </c>
      <c r="C1942" s="116" t="s">
        <v>1107</v>
      </c>
    </row>
    <row r="1943" spans="1:3" ht="15">
      <c r="A1943" s="113" t="s">
        <v>273</v>
      </c>
      <c r="B1943" s="112" t="s">
        <v>2374</v>
      </c>
      <c r="C1943" s="116" t="s">
        <v>1107</v>
      </c>
    </row>
    <row r="1944" spans="1:3" ht="15">
      <c r="A1944" s="113" t="s">
        <v>273</v>
      </c>
      <c r="B1944" s="112" t="s">
        <v>2373</v>
      </c>
      <c r="C1944" s="116" t="s">
        <v>1107</v>
      </c>
    </row>
    <row r="1945" spans="1:3" ht="15">
      <c r="A1945" s="113" t="s">
        <v>273</v>
      </c>
      <c r="B1945" s="112" t="s">
        <v>681</v>
      </c>
      <c r="C1945" s="116" t="s">
        <v>1107</v>
      </c>
    </row>
    <row r="1946" spans="1:3" ht="15">
      <c r="A1946" s="113" t="s">
        <v>273</v>
      </c>
      <c r="B1946" s="112" t="s">
        <v>4116</v>
      </c>
      <c r="C1946" s="116" t="s">
        <v>1107</v>
      </c>
    </row>
    <row r="1947" spans="1:3" ht="15">
      <c r="A1947" s="113" t="s">
        <v>273</v>
      </c>
      <c r="B1947" s="112" t="s">
        <v>390</v>
      </c>
      <c r="C1947" s="116" t="s">
        <v>1107</v>
      </c>
    </row>
    <row r="1948" spans="1:3" ht="15">
      <c r="A1948" s="113" t="s">
        <v>273</v>
      </c>
      <c r="B1948" s="112" t="s">
        <v>359</v>
      </c>
      <c r="C1948" s="116" t="s">
        <v>1107</v>
      </c>
    </row>
    <row r="1949" spans="1:3" ht="15">
      <c r="A1949" s="113" t="s">
        <v>273</v>
      </c>
      <c r="B1949" s="112" t="s">
        <v>2376</v>
      </c>
      <c r="C1949" s="116" t="s">
        <v>1107</v>
      </c>
    </row>
    <row r="1950" spans="1:3" ht="15">
      <c r="A1950" s="113" t="s">
        <v>273</v>
      </c>
      <c r="B1950" s="112" t="s">
        <v>391</v>
      </c>
      <c r="C1950" s="116" t="s">
        <v>1107</v>
      </c>
    </row>
    <row r="1951" spans="1:3" ht="15">
      <c r="A1951" s="113" t="s">
        <v>273</v>
      </c>
      <c r="B1951" s="112" t="s">
        <v>394</v>
      </c>
      <c r="C1951" s="116" t="s">
        <v>1107</v>
      </c>
    </row>
    <row r="1952" spans="1:3" ht="15">
      <c r="A1952" s="113" t="s">
        <v>273</v>
      </c>
      <c r="B1952" s="112" t="s">
        <v>395</v>
      </c>
      <c r="C1952" s="116" t="s">
        <v>1107</v>
      </c>
    </row>
    <row r="1953" spans="1:3" ht="15">
      <c r="A1953" s="113" t="s">
        <v>273</v>
      </c>
      <c r="B1953" s="112" t="s">
        <v>392</v>
      </c>
      <c r="C1953" s="116" t="s">
        <v>1107</v>
      </c>
    </row>
    <row r="1954" spans="1:3" ht="15">
      <c r="A1954" s="113" t="s">
        <v>273</v>
      </c>
      <c r="B1954" s="112" t="s">
        <v>393</v>
      </c>
      <c r="C1954" s="116" t="s">
        <v>1107</v>
      </c>
    </row>
    <row r="1955" spans="1:3" ht="15">
      <c r="A1955" s="113" t="s">
        <v>273</v>
      </c>
      <c r="B1955" s="112" t="s">
        <v>2721</v>
      </c>
      <c r="C1955" s="116" t="s">
        <v>1107</v>
      </c>
    </row>
    <row r="1956" spans="1:3" ht="15">
      <c r="A1956" s="113" t="s">
        <v>273</v>
      </c>
      <c r="B1956" s="112" t="s">
        <v>2876</v>
      </c>
      <c r="C1956" s="116" t="s">
        <v>1107</v>
      </c>
    </row>
    <row r="1957" spans="1:3" ht="15">
      <c r="A1957" s="113" t="s">
        <v>273</v>
      </c>
      <c r="B1957" s="112" t="s">
        <v>2659</v>
      </c>
      <c r="C1957" s="116" t="s">
        <v>1107</v>
      </c>
    </row>
    <row r="1958" spans="1:3" ht="15">
      <c r="A1958" s="113" t="s">
        <v>273</v>
      </c>
      <c r="B1958" s="112" t="s">
        <v>2837</v>
      </c>
      <c r="C1958" s="116" t="s">
        <v>1107</v>
      </c>
    </row>
    <row r="1959" spans="1:3" ht="15">
      <c r="A1959" s="113" t="s">
        <v>273</v>
      </c>
      <c r="B1959" s="112" t="s">
        <v>2872</v>
      </c>
      <c r="C1959" s="116" t="s">
        <v>1107</v>
      </c>
    </row>
    <row r="1960" spans="1:3" ht="15">
      <c r="A1960" s="113" t="s">
        <v>273</v>
      </c>
      <c r="B1960" s="112" t="s">
        <v>2636</v>
      </c>
      <c r="C1960" s="116" t="s">
        <v>1107</v>
      </c>
    </row>
    <row r="1961" spans="1:3" ht="15">
      <c r="A1961" s="113" t="s">
        <v>273</v>
      </c>
      <c r="B1961" s="112" t="s">
        <v>2649</v>
      </c>
      <c r="C1961" s="116" t="s">
        <v>1107</v>
      </c>
    </row>
    <row r="1962" spans="1:3" ht="15">
      <c r="A1962" s="113" t="s">
        <v>273</v>
      </c>
      <c r="B1962" s="112" t="s">
        <v>2893</v>
      </c>
      <c r="C1962" s="116" t="s">
        <v>1107</v>
      </c>
    </row>
    <row r="1963" spans="1:3" ht="15">
      <c r="A1963" s="113" t="s">
        <v>273</v>
      </c>
      <c r="B1963" s="112" t="s">
        <v>2821</v>
      </c>
      <c r="C1963" s="116" t="s">
        <v>1107</v>
      </c>
    </row>
    <row r="1964" spans="1:3" ht="15">
      <c r="A1964" s="113" t="s">
        <v>273</v>
      </c>
      <c r="B1964" s="112">
        <v>2024</v>
      </c>
      <c r="C1964" s="116" t="s">
        <v>1107</v>
      </c>
    </row>
    <row r="1965" spans="1:3" ht="15">
      <c r="A1965" s="113" t="s">
        <v>273</v>
      </c>
      <c r="B1965" s="112" t="s">
        <v>2641</v>
      </c>
      <c r="C1965" s="116" t="s">
        <v>1107</v>
      </c>
    </row>
    <row r="1966" spans="1:3" ht="15">
      <c r="A1966" s="113" t="s">
        <v>273</v>
      </c>
      <c r="B1966" s="112" t="s">
        <v>4117</v>
      </c>
      <c r="C1966" s="116" t="s">
        <v>1107</v>
      </c>
    </row>
    <row r="1967" spans="1:3" ht="15">
      <c r="A1967" s="113" t="s">
        <v>273</v>
      </c>
      <c r="B1967" s="112" t="s">
        <v>3001</v>
      </c>
      <c r="C1967" s="116" t="s">
        <v>1107</v>
      </c>
    </row>
    <row r="1968" spans="1:3" ht="15">
      <c r="A1968" s="113" t="s">
        <v>233</v>
      </c>
      <c r="B1968" s="112" t="s">
        <v>2809</v>
      </c>
      <c r="C1968" s="116" t="s">
        <v>1041</v>
      </c>
    </row>
    <row r="1969" spans="1:3" ht="15">
      <c r="A1969" s="113" t="s">
        <v>233</v>
      </c>
      <c r="B1969" s="112" t="s">
        <v>4118</v>
      </c>
      <c r="C1969" s="116" t="s">
        <v>1041</v>
      </c>
    </row>
    <row r="1970" spans="1:3" ht="15">
      <c r="A1970" s="113" t="s">
        <v>233</v>
      </c>
      <c r="B1970" s="112" t="s">
        <v>2766</v>
      </c>
      <c r="C1970" s="116" t="s">
        <v>1041</v>
      </c>
    </row>
    <row r="1971" spans="1:3" ht="15">
      <c r="A1971" s="113" t="s">
        <v>233</v>
      </c>
      <c r="B1971" s="112" t="s">
        <v>3021</v>
      </c>
      <c r="C1971" s="116" t="s">
        <v>1041</v>
      </c>
    </row>
    <row r="1972" spans="1:3" ht="15">
      <c r="A1972" s="113" t="s">
        <v>233</v>
      </c>
      <c r="B1972" s="112" t="s">
        <v>2374</v>
      </c>
      <c r="C1972" s="116" t="s">
        <v>1041</v>
      </c>
    </row>
    <row r="1973" spans="1:3" ht="15">
      <c r="A1973" s="113" t="s">
        <v>233</v>
      </c>
      <c r="B1973" s="112" t="s">
        <v>2373</v>
      </c>
      <c r="C1973" s="116" t="s">
        <v>1041</v>
      </c>
    </row>
    <row r="1974" spans="1:3" ht="15">
      <c r="A1974" s="113" t="s">
        <v>233</v>
      </c>
      <c r="B1974" s="112" t="s">
        <v>681</v>
      </c>
      <c r="C1974" s="116" t="s">
        <v>1041</v>
      </c>
    </row>
    <row r="1975" spans="1:3" ht="15">
      <c r="A1975" s="113" t="s">
        <v>233</v>
      </c>
      <c r="B1975" s="112" t="s">
        <v>2363</v>
      </c>
      <c r="C1975" s="116" t="s">
        <v>1041</v>
      </c>
    </row>
    <row r="1976" spans="1:3" ht="15">
      <c r="A1976" s="113" t="s">
        <v>233</v>
      </c>
      <c r="B1976" s="112" t="s">
        <v>271</v>
      </c>
      <c r="C1976" s="116" t="s">
        <v>1041</v>
      </c>
    </row>
    <row r="1977" spans="1:3" ht="15">
      <c r="A1977" s="113" t="s">
        <v>286</v>
      </c>
      <c r="B1977" s="112" t="s">
        <v>4119</v>
      </c>
      <c r="C1977" s="116" t="s">
        <v>1138</v>
      </c>
    </row>
    <row r="1978" spans="1:3" ht="15">
      <c r="A1978" s="113" t="s">
        <v>286</v>
      </c>
      <c r="B1978" s="112" t="s">
        <v>4120</v>
      </c>
      <c r="C1978" s="116" t="s">
        <v>1138</v>
      </c>
    </row>
    <row r="1979" spans="1:3" ht="15">
      <c r="A1979" s="113" t="s">
        <v>286</v>
      </c>
      <c r="B1979" s="112" t="s">
        <v>3013</v>
      </c>
      <c r="C1979" s="116" t="s">
        <v>1138</v>
      </c>
    </row>
    <row r="1980" spans="1:3" ht="15">
      <c r="A1980" s="113" t="s">
        <v>286</v>
      </c>
      <c r="B1980" s="112" t="s">
        <v>4121</v>
      </c>
      <c r="C1980" s="116" t="s">
        <v>1138</v>
      </c>
    </row>
    <row r="1981" spans="1:3" ht="15">
      <c r="A1981" s="113" t="s">
        <v>286</v>
      </c>
      <c r="B1981" s="112" t="s">
        <v>3405</v>
      </c>
      <c r="C1981" s="116" t="s">
        <v>1138</v>
      </c>
    </row>
    <row r="1982" spans="1:3" ht="15">
      <c r="A1982" s="113" t="s">
        <v>286</v>
      </c>
      <c r="B1982" s="112" t="s">
        <v>286</v>
      </c>
      <c r="C1982" s="116" t="s">
        <v>1138</v>
      </c>
    </row>
    <row r="1983" spans="1:3" ht="15">
      <c r="A1983" s="113" t="s">
        <v>286</v>
      </c>
      <c r="B1983" s="112" t="s">
        <v>2374</v>
      </c>
      <c r="C1983" s="116" t="s">
        <v>1138</v>
      </c>
    </row>
    <row r="1984" spans="1:3" ht="15">
      <c r="A1984" s="113" t="s">
        <v>286</v>
      </c>
      <c r="B1984" s="112" t="s">
        <v>2373</v>
      </c>
      <c r="C1984" s="116" t="s">
        <v>1138</v>
      </c>
    </row>
    <row r="1985" spans="1:3" ht="15">
      <c r="A1985" s="113" t="s">
        <v>286</v>
      </c>
      <c r="B1985" s="112" t="s">
        <v>681</v>
      </c>
      <c r="C1985" s="116" t="s">
        <v>1138</v>
      </c>
    </row>
    <row r="1986" spans="1:3" ht="15">
      <c r="A1986" s="113" t="s">
        <v>286</v>
      </c>
      <c r="B1986" s="112" t="s">
        <v>2959</v>
      </c>
      <c r="C1986" s="116" t="s">
        <v>1138</v>
      </c>
    </row>
    <row r="1987" spans="1:3" ht="15">
      <c r="A1987" s="113" t="s">
        <v>286</v>
      </c>
      <c r="B1987" s="112" t="s">
        <v>2900</v>
      </c>
      <c r="C1987" s="116" t="s">
        <v>1138</v>
      </c>
    </row>
    <row r="1988" spans="1:3" ht="15">
      <c r="A1988" s="113" t="s">
        <v>286</v>
      </c>
      <c r="B1988" s="112" t="s">
        <v>2376</v>
      </c>
      <c r="C1988" s="116" t="s">
        <v>1138</v>
      </c>
    </row>
    <row r="1989" spans="1:3" ht="15">
      <c r="A1989" s="113" t="s">
        <v>286</v>
      </c>
      <c r="B1989" s="112" t="s">
        <v>2685</v>
      </c>
      <c r="C1989" s="116" t="s">
        <v>1138</v>
      </c>
    </row>
    <row r="1990" spans="1:3" ht="15">
      <c r="A1990" s="113" t="s">
        <v>286</v>
      </c>
      <c r="B1990" s="112" t="s">
        <v>2690</v>
      </c>
      <c r="C1990" s="116" t="s">
        <v>1138</v>
      </c>
    </row>
    <row r="1991" spans="1:3" ht="15">
      <c r="A1991" s="113" t="s">
        <v>286</v>
      </c>
      <c r="B1991" s="112" t="s">
        <v>2642</v>
      </c>
      <c r="C1991" s="116" t="s">
        <v>1138</v>
      </c>
    </row>
    <row r="1992" spans="1:3" ht="15">
      <c r="A1992" s="113" t="s">
        <v>286</v>
      </c>
      <c r="B1992" s="112" t="s">
        <v>2652</v>
      </c>
      <c r="C1992" s="116" t="s">
        <v>1138</v>
      </c>
    </row>
    <row r="1993" spans="1:3" ht="15">
      <c r="A1993" s="113" t="s">
        <v>286</v>
      </c>
      <c r="B1993" s="112" t="s">
        <v>2637</v>
      </c>
      <c r="C1993" s="116" t="s">
        <v>1138</v>
      </c>
    </row>
    <row r="1994" spans="1:3" ht="15">
      <c r="A1994" s="113" t="s">
        <v>286</v>
      </c>
      <c r="B1994" s="112" t="s">
        <v>2643</v>
      </c>
      <c r="C1994" s="116" t="s">
        <v>1138</v>
      </c>
    </row>
    <row r="1995" spans="1:3" ht="15">
      <c r="A1995" s="113" t="s">
        <v>286</v>
      </c>
      <c r="B1995" s="112" t="s">
        <v>2775</v>
      </c>
      <c r="C1995" s="116" t="s">
        <v>1138</v>
      </c>
    </row>
    <row r="1996" spans="1:3" ht="15">
      <c r="A1996" s="113" t="s">
        <v>286</v>
      </c>
      <c r="B1996" s="112" t="s">
        <v>2806</v>
      </c>
      <c r="C1996" s="116" t="s">
        <v>1138</v>
      </c>
    </row>
    <row r="1997" spans="1:3" ht="15">
      <c r="A1997" s="113" t="s">
        <v>267</v>
      </c>
      <c r="B1997" s="112" t="s">
        <v>2374</v>
      </c>
      <c r="C1997" s="116" t="s">
        <v>1099</v>
      </c>
    </row>
    <row r="1998" spans="1:3" ht="15">
      <c r="A1998" s="113" t="s">
        <v>267</v>
      </c>
      <c r="B1998" s="112" t="s">
        <v>2373</v>
      </c>
      <c r="C1998" s="116" t="s">
        <v>1099</v>
      </c>
    </row>
    <row r="1999" spans="1:3" ht="15">
      <c r="A1999" s="113" t="s">
        <v>267</v>
      </c>
      <c r="B1999" s="112" t="s">
        <v>681</v>
      </c>
      <c r="C1999" s="116" t="s">
        <v>1099</v>
      </c>
    </row>
    <row r="2000" spans="1:3" ht="15">
      <c r="A2000" s="113" t="s">
        <v>267</v>
      </c>
      <c r="B2000" s="112" t="s">
        <v>2685</v>
      </c>
      <c r="C2000" s="116" t="s">
        <v>1099</v>
      </c>
    </row>
    <row r="2001" spans="1:3" ht="15">
      <c r="A2001" s="113" t="s">
        <v>267</v>
      </c>
      <c r="B2001" s="112" t="s">
        <v>2690</v>
      </c>
      <c r="C2001" s="116" t="s">
        <v>1099</v>
      </c>
    </row>
    <row r="2002" spans="1:3" ht="15">
      <c r="A2002" s="113" t="s">
        <v>267</v>
      </c>
      <c r="B2002" s="112" t="s">
        <v>2642</v>
      </c>
      <c r="C2002" s="116" t="s">
        <v>1099</v>
      </c>
    </row>
    <row r="2003" spans="1:3" ht="15">
      <c r="A2003" s="113" t="s">
        <v>267</v>
      </c>
      <c r="B2003" s="112" t="s">
        <v>2652</v>
      </c>
      <c r="C2003" s="116" t="s">
        <v>1099</v>
      </c>
    </row>
    <row r="2004" spans="1:3" ht="15">
      <c r="A2004" s="113" t="s">
        <v>267</v>
      </c>
      <c r="B2004" s="112" t="s">
        <v>2380</v>
      </c>
      <c r="C2004" s="116" t="s">
        <v>1099</v>
      </c>
    </row>
    <row r="2005" spans="1:3" ht="15">
      <c r="A2005" s="113" t="s">
        <v>267</v>
      </c>
      <c r="B2005" s="112" t="s">
        <v>2775</v>
      </c>
      <c r="C2005" s="116" t="s">
        <v>1099</v>
      </c>
    </row>
    <row r="2006" spans="1:3" ht="15">
      <c r="A2006" s="113" t="s">
        <v>267</v>
      </c>
      <c r="B2006" s="112" t="s">
        <v>2806</v>
      </c>
      <c r="C2006" s="116" t="s">
        <v>1099</v>
      </c>
    </row>
    <row r="2007" spans="1:3" ht="15">
      <c r="A2007" s="113" t="s">
        <v>264</v>
      </c>
      <c r="B2007" s="112" t="s">
        <v>2679</v>
      </c>
      <c r="C2007" s="116" t="s">
        <v>1096</v>
      </c>
    </row>
    <row r="2008" spans="1:3" ht="15">
      <c r="A2008" s="113" t="s">
        <v>264</v>
      </c>
      <c r="B2008" s="112" t="s">
        <v>2734</v>
      </c>
      <c r="C2008" s="116" t="s">
        <v>1096</v>
      </c>
    </row>
    <row r="2009" spans="1:3" ht="15">
      <c r="A2009" s="113" t="s">
        <v>264</v>
      </c>
      <c r="B2009" s="112" t="s">
        <v>681</v>
      </c>
      <c r="C2009" s="116" t="s">
        <v>1096</v>
      </c>
    </row>
    <row r="2010" spans="1:3" ht="15">
      <c r="A2010" s="113" t="s">
        <v>264</v>
      </c>
      <c r="B2010" s="112" t="s">
        <v>4122</v>
      </c>
      <c r="C2010" s="116" t="s">
        <v>1096</v>
      </c>
    </row>
    <row r="2011" spans="1:3" ht="15">
      <c r="A2011" s="113" t="s">
        <v>264</v>
      </c>
      <c r="B2011" s="112" t="s">
        <v>4123</v>
      </c>
      <c r="C2011" s="116" t="s">
        <v>1096</v>
      </c>
    </row>
    <row r="2012" spans="1:3" ht="15">
      <c r="A2012" s="113" t="s">
        <v>264</v>
      </c>
      <c r="B2012" s="112" t="s">
        <v>4124</v>
      </c>
      <c r="C2012" s="116" t="s">
        <v>1096</v>
      </c>
    </row>
    <row r="2013" spans="1:3" ht="15">
      <c r="A2013" s="113" t="s">
        <v>264</v>
      </c>
      <c r="B2013" s="112" t="s">
        <v>4125</v>
      </c>
      <c r="C2013" s="116" t="s">
        <v>1096</v>
      </c>
    </row>
    <row r="2014" spans="1:3" ht="15">
      <c r="A2014" s="113" t="s">
        <v>264</v>
      </c>
      <c r="B2014" s="112" t="s">
        <v>4126</v>
      </c>
      <c r="C2014" s="116" t="s">
        <v>1096</v>
      </c>
    </row>
    <row r="2015" spans="1:3" ht="15">
      <c r="A2015" s="113" t="s">
        <v>264</v>
      </c>
      <c r="B2015" s="112" t="s">
        <v>2942</v>
      </c>
      <c r="C2015" s="116" t="s">
        <v>1096</v>
      </c>
    </row>
    <row r="2016" spans="1:3" ht="15">
      <c r="A2016" s="113" t="s">
        <v>264</v>
      </c>
      <c r="B2016" s="112" t="s">
        <v>2904</v>
      </c>
      <c r="C2016" s="116" t="s">
        <v>1096</v>
      </c>
    </row>
    <row r="2017" spans="1:3" ht="15">
      <c r="A2017" s="113" t="s">
        <v>264</v>
      </c>
      <c r="B2017" s="112" t="s">
        <v>4127</v>
      </c>
      <c r="C2017" s="116" t="s">
        <v>1096</v>
      </c>
    </row>
    <row r="2018" spans="1:3" ht="15">
      <c r="A2018" s="113" t="s">
        <v>264</v>
      </c>
      <c r="B2018" s="112" t="s">
        <v>2374</v>
      </c>
      <c r="C2018" s="116" t="s">
        <v>1096</v>
      </c>
    </row>
    <row r="2019" spans="1:3" ht="15">
      <c r="A2019" s="113" t="s">
        <v>264</v>
      </c>
      <c r="B2019" s="112" t="s">
        <v>2373</v>
      </c>
      <c r="C2019" s="116" t="s">
        <v>1096</v>
      </c>
    </row>
    <row r="2020" spans="1:3" ht="15">
      <c r="A2020" s="113" t="s">
        <v>264</v>
      </c>
      <c r="B2020" s="112" t="s">
        <v>2645</v>
      </c>
      <c r="C2020" s="116" t="s">
        <v>1096</v>
      </c>
    </row>
    <row r="2021" spans="1:3" ht="15">
      <c r="A2021" s="113" t="s">
        <v>264</v>
      </c>
      <c r="B2021" s="112" t="s">
        <v>4128</v>
      </c>
      <c r="C2021" s="116" t="s">
        <v>1096</v>
      </c>
    </row>
    <row r="2022" spans="1:3" ht="15">
      <c r="A2022" s="113" t="s">
        <v>264</v>
      </c>
      <c r="B2022" s="112" t="s">
        <v>2671</v>
      </c>
      <c r="C2022" s="116" t="s">
        <v>1096</v>
      </c>
    </row>
    <row r="2023" spans="1:3" ht="15">
      <c r="A2023" s="113" t="s">
        <v>264</v>
      </c>
      <c r="B2023" s="112" t="s">
        <v>2975</v>
      </c>
      <c r="C2023" s="116" t="s">
        <v>1096</v>
      </c>
    </row>
    <row r="2024" spans="1:3" ht="15">
      <c r="A2024" s="113" t="s">
        <v>264</v>
      </c>
      <c r="B2024" s="112" t="s">
        <v>4129</v>
      </c>
      <c r="C2024" s="116" t="s">
        <v>1096</v>
      </c>
    </row>
    <row r="2025" spans="1:3" ht="15">
      <c r="A2025" s="113" t="s">
        <v>264</v>
      </c>
      <c r="B2025" s="112" t="s">
        <v>4130</v>
      </c>
      <c r="C2025" s="116" t="s">
        <v>1096</v>
      </c>
    </row>
    <row r="2026" spans="1:3" ht="15">
      <c r="A2026" s="113" t="s">
        <v>264</v>
      </c>
      <c r="B2026" s="112" t="s">
        <v>2899</v>
      </c>
      <c r="C2026" s="116" t="s">
        <v>1096</v>
      </c>
    </row>
    <row r="2027" spans="1:3" ht="15">
      <c r="A2027" s="113" t="s">
        <v>264</v>
      </c>
      <c r="B2027" s="112" t="s">
        <v>4131</v>
      </c>
      <c r="C2027" s="116" t="s">
        <v>1096</v>
      </c>
    </row>
    <row r="2028" spans="1:3" ht="15">
      <c r="A2028" s="113" t="s">
        <v>264</v>
      </c>
      <c r="B2028" s="112" t="s">
        <v>4132</v>
      </c>
      <c r="C2028" s="116" t="s">
        <v>1096</v>
      </c>
    </row>
    <row r="2029" spans="1:3" ht="15">
      <c r="A2029" s="113" t="s">
        <v>264</v>
      </c>
      <c r="B2029" s="112" t="s">
        <v>2704</v>
      </c>
      <c r="C2029" s="116" t="s">
        <v>1096</v>
      </c>
    </row>
    <row r="2030" spans="1:3" ht="15">
      <c r="A2030" s="113" t="s">
        <v>264</v>
      </c>
      <c r="B2030" s="112" t="s">
        <v>2918</v>
      </c>
      <c r="C2030" s="116" t="s">
        <v>1096</v>
      </c>
    </row>
    <row r="2031" spans="1:3" ht="15">
      <c r="A2031" s="113" t="s">
        <v>264</v>
      </c>
      <c r="B2031" s="112" t="s">
        <v>2885</v>
      </c>
      <c r="C2031" s="116" t="s">
        <v>1096</v>
      </c>
    </row>
    <row r="2032" spans="1:3" ht="15">
      <c r="A2032" s="113" t="s">
        <v>264</v>
      </c>
      <c r="B2032" s="112" t="s">
        <v>2680</v>
      </c>
      <c r="C2032" s="116" t="s">
        <v>1096</v>
      </c>
    </row>
    <row r="2033" spans="1:3" ht="15">
      <c r="A2033" s="113" t="s">
        <v>264</v>
      </c>
      <c r="B2033" s="112" t="s">
        <v>379</v>
      </c>
      <c r="C2033" s="116" t="s">
        <v>1096</v>
      </c>
    </row>
    <row r="2034" spans="1:3" ht="15">
      <c r="A2034" s="113" t="s">
        <v>264</v>
      </c>
      <c r="B2034" s="112" t="s">
        <v>380</v>
      </c>
      <c r="C2034" s="116" t="s">
        <v>1096</v>
      </c>
    </row>
    <row r="2035" spans="1:3" ht="15">
      <c r="A2035" s="113" t="s">
        <v>329</v>
      </c>
      <c r="B2035" s="112" t="s">
        <v>707</v>
      </c>
      <c r="C2035" s="116" t="s">
        <v>1218</v>
      </c>
    </row>
    <row r="2036" spans="1:3" ht="15">
      <c r="A2036" s="113" t="s">
        <v>329</v>
      </c>
      <c r="B2036" s="112" t="s">
        <v>2744</v>
      </c>
      <c r="C2036" s="116" t="s">
        <v>1218</v>
      </c>
    </row>
    <row r="2037" spans="1:3" ht="15">
      <c r="A2037" s="113" t="s">
        <v>329</v>
      </c>
      <c r="B2037" s="112" t="s">
        <v>2381</v>
      </c>
      <c r="C2037" s="116" t="s">
        <v>1218</v>
      </c>
    </row>
    <row r="2038" spans="1:3" ht="15">
      <c r="A2038" s="113" t="s">
        <v>329</v>
      </c>
      <c r="B2038" s="112" t="s">
        <v>2763</v>
      </c>
      <c r="C2038" s="116" t="s">
        <v>1218</v>
      </c>
    </row>
    <row r="2039" spans="1:3" ht="15">
      <c r="A2039" s="113" t="s">
        <v>329</v>
      </c>
      <c r="B2039" s="112" t="s">
        <v>2747</v>
      </c>
      <c r="C2039" s="116" t="s">
        <v>1218</v>
      </c>
    </row>
    <row r="2040" spans="1:3" ht="15">
      <c r="A2040" s="113" t="s">
        <v>329</v>
      </c>
      <c r="B2040" s="112" t="s">
        <v>2745</v>
      </c>
      <c r="C2040" s="116" t="s">
        <v>1218</v>
      </c>
    </row>
    <row r="2041" spans="1:3" ht="15">
      <c r="A2041" s="113" t="s">
        <v>329</v>
      </c>
      <c r="B2041" s="112" t="s">
        <v>2887</v>
      </c>
      <c r="C2041" s="116" t="s">
        <v>1218</v>
      </c>
    </row>
    <row r="2042" spans="1:3" ht="15">
      <c r="A2042" s="113" t="s">
        <v>329</v>
      </c>
      <c r="B2042" s="112" t="s">
        <v>2714</v>
      </c>
      <c r="C2042" s="116" t="s">
        <v>1218</v>
      </c>
    </row>
    <row r="2043" spans="1:3" ht="15">
      <c r="A2043" s="113" t="s">
        <v>329</v>
      </c>
      <c r="B2043" s="112" t="s">
        <v>2636</v>
      </c>
      <c r="C2043" s="116" t="s">
        <v>1218</v>
      </c>
    </row>
    <row r="2044" spans="1:3" ht="15">
      <c r="A2044" s="113" t="s">
        <v>329</v>
      </c>
      <c r="B2044" s="112" t="s">
        <v>2682</v>
      </c>
      <c r="C2044" s="116" t="s">
        <v>1218</v>
      </c>
    </row>
    <row r="2045" spans="1:3" ht="15">
      <c r="A2045" s="113" t="s">
        <v>329</v>
      </c>
      <c r="B2045" s="112" t="s">
        <v>2655</v>
      </c>
      <c r="C2045" s="116" t="s">
        <v>1218</v>
      </c>
    </row>
    <row r="2046" spans="1:3" ht="15">
      <c r="A2046" s="113" t="s">
        <v>329</v>
      </c>
      <c r="B2046" s="112" t="s">
        <v>2638</v>
      </c>
      <c r="C2046" s="116" t="s">
        <v>1218</v>
      </c>
    </row>
    <row r="2047" spans="1:3" ht="15">
      <c r="A2047" s="113" t="s">
        <v>329</v>
      </c>
      <c r="B2047" s="112" t="s">
        <v>2722</v>
      </c>
      <c r="C2047" s="116" t="s">
        <v>1218</v>
      </c>
    </row>
    <row r="2048" spans="1:3" ht="15">
      <c r="A2048" s="113" t="s">
        <v>329</v>
      </c>
      <c r="B2048" s="112" t="s">
        <v>2818</v>
      </c>
      <c r="C2048" s="116" t="s">
        <v>1218</v>
      </c>
    </row>
    <row r="2049" spans="1:3" ht="15">
      <c r="A2049" s="113" t="s">
        <v>329</v>
      </c>
      <c r="B2049" s="112" t="s">
        <v>2640</v>
      </c>
      <c r="C2049" s="116" t="s">
        <v>1218</v>
      </c>
    </row>
    <row r="2050" spans="1:3" ht="15">
      <c r="A2050" s="113" t="s">
        <v>329</v>
      </c>
      <c r="B2050" s="112" t="s">
        <v>2669</v>
      </c>
      <c r="C2050" s="116" t="s">
        <v>1218</v>
      </c>
    </row>
    <row r="2051" spans="1:3" ht="15">
      <c r="A2051" s="113" t="s">
        <v>329</v>
      </c>
      <c r="B2051" s="112" t="s">
        <v>2697</v>
      </c>
      <c r="C2051" s="116" t="s">
        <v>1218</v>
      </c>
    </row>
    <row r="2052" spans="1:3" ht="15">
      <c r="A2052" s="113" t="s">
        <v>329</v>
      </c>
      <c r="B2052" s="112" t="s">
        <v>2765</v>
      </c>
      <c r="C2052" s="116" t="s">
        <v>1218</v>
      </c>
    </row>
    <row r="2053" spans="1:3" ht="15">
      <c r="A2053" s="113" t="s">
        <v>329</v>
      </c>
      <c r="B2053" s="112" t="s">
        <v>4133</v>
      </c>
      <c r="C2053" s="116" t="s">
        <v>1218</v>
      </c>
    </row>
    <row r="2054" spans="1:3" ht="15">
      <c r="A2054" s="113" t="s">
        <v>329</v>
      </c>
      <c r="B2054" s="112" t="s">
        <v>2696</v>
      </c>
      <c r="C2054" s="116" t="s">
        <v>1218</v>
      </c>
    </row>
    <row r="2055" spans="1:3" ht="15">
      <c r="A2055" s="113" t="s">
        <v>329</v>
      </c>
      <c r="B2055" s="112" t="s">
        <v>4134</v>
      </c>
      <c r="C2055" s="116" t="s">
        <v>1218</v>
      </c>
    </row>
    <row r="2056" spans="1:3" ht="15">
      <c r="A2056" s="113" t="s">
        <v>329</v>
      </c>
      <c r="B2056" s="112" t="s">
        <v>2675</v>
      </c>
      <c r="C2056" s="116" t="s">
        <v>1218</v>
      </c>
    </row>
    <row r="2057" spans="1:3" ht="15">
      <c r="A2057" s="113" t="s">
        <v>329</v>
      </c>
      <c r="B2057" s="112" t="s">
        <v>2374</v>
      </c>
      <c r="C2057" s="116" t="s">
        <v>1218</v>
      </c>
    </row>
    <row r="2058" spans="1:3" ht="15">
      <c r="A2058" s="113" t="s">
        <v>329</v>
      </c>
      <c r="B2058" s="112" t="s">
        <v>2373</v>
      </c>
      <c r="C2058" s="116" t="s">
        <v>1218</v>
      </c>
    </row>
    <row r="2059" spans="1:3" ht="15">
      <c r="A2059" s="113" t="s">
        <v>329</v>
      </c>
      <c r="B2059" s="112" t="s">
        <v>681</v>
      </c>
      <c r="C2059" s="116" t="s">
        <v>1218</v>
      </c>
    </row>
    <row r="2060" spans="1:3" ht="15">
      <c r="A2060" s="113" t="s">
        <v>248</v>
      </c>
      <c r="B2060" s="112" t="s">
        <v>2708</v>
      </c>
      <c r="C2060" s="116" t="s">
        <v>1065</v>
      </c>
    </row>
    <row r="2061" spans="1:3" ht="15">
      <c r="A2061" s="113" t="s">
        <v>248</v>
      </c>
      <c r="B2061" s="112" t="s">
        <v>4135</v>
      </c>
      <c r="C2061" s="116" t="s">
        <v>1065</v>
      </c>
    </row>
    <row r="2062" spans="1:3" ht="15">
      <c r="A2062" s="113" t="s">
        <v>248</v>
      </c>
      <c r="B2062" s="112" t="s">
        <v>4136</v>
      </c>
      <c r="C2062" s="116" t="s">
        <v>1065</v>
      </c>
    </row>
    <row r="2063" spans="1:3" ht="15">
      <c r="A2063" s="113" t="s">
        <v>248</v>
      </c>
      <c r="B2063" s="112" t="s">
        <v>3014</v>
      </c>
      <c r="C2063" s="116" t="s">
        <v>1065</v>
      </c>
    </row>
    <row r="2064" spans="1:3" ht="15">
      <c r="A2064" s="113" t="s">
        <v>248</v>
      </c>
      <c r="B2064" s="112" t="s">
        <v>2821</v>
      </c>
      <c r="C2064" s="116" t="s">
        <v>1065</v>
      </c>
    </row>
    <row r="2065" spans="1:3" ht="15">
      <c r="A2065" s="113" t="s">
        <v>248</v>
      </c>
      <c r="B2065" s="112" t="s">
        <v>2666</v>
      </c>
      <c r="C2065" s="116" t="s">
        <v>1065</v>
      </c>
    </row>
    <row r="2066" spans="1:3" ht="15">
      <c r="A2066" s="113" t="s">
        <v>248</v>
      </c>
      <c r="B2066" s="112" t="s">
        <v>2653</v>
      </c>
      <c r="C2066" s="116" t="s">
        <v>1065</v>
      </c>
    </row>
    <row r="2067" spans="1:3" ht="15">
      <c r="A2067" s="113" t="s">
        <v>248</v>
      </c>
      <c r="B2067" s="112" t="s">
        <v>4137</v>
      </c>
      <c r="C2067" s="116" t="s">
        <v>1065</v>
      </c>
    </row>
    <row r="2068" spans="1:3" ht="15">
      <c r="A2068" s="113" t="s">
        <v>248</v>
      </c>
      <c r="B2068" s="112" t="s">
        <v>2699</v>
      </c>
      <c r="C2068" s="116" t="s">
        <v>1065</v>
      </c>
    </row>
    <row r="2069" spans="1:3" ht="15">
      <c r="A2069" s="113" t="s">
        <v>248</v>
      </c>
      <c r="B2069" s="112" t="s">
        <v>4138</v>
      </c>
      <c r="C2069" s="116" t="s">
        <v>1065</v>
      </c>
    </row>
    <row r="2070" spans="1:3" ht="15">
      <c r="A2070" s="113" t="s">
        <v>248</v>
      </c>
      <c r="B2070" s="112" t="s">
        <v>2684</v>
      </c>
      <c r="C2070" s="116" t="s">
        <v>1065</v>
      </c>
    </row>
    <row r="2071" spans="1:3" ht="15">
      <c r="A2071" s="113" t="s">
        <v>248</v>
      </c>
      <c r="B2071" s="112" t="s">
        <v>2672</v>
      </c>
      <c r="C2071" s="116" t="s">
        <v>1065</v>
      </c>
    </row>
    <row r="2072" spans="1:3" ht="15">
      <c r="A2072" s="113" t="s">
        <v>248</v>
      </c>
      <c r="B2072" s="112" t="s">
        <v>2376</v>
      </c>
      <c r="C2072" s="116" t="s">
        <v>1065</v>
      </c>
    </row>
    <row r="2073" spans="1:3" ht="15">
      <c r="A2073" s="113" t="s">
        <v>248</v>
      </c>
      <c r="B2073" s="112" t="s">
        <v>2692</v>
      </c>
      <c r="C2073" s="116" t="s">
        <v>1065</v>
      </c>
    </row>
    <row r="2074" spans="1:3" ht="15">
      <c r="A2074" s="113" t="s">
        <v>248</v>
      </c>
      <c r="B2074" s="112" t="s">
        <v>2994</v>
      </c>
      <c r="C2074" s="116" t="s">
        <v>1065</v>
      </c>
    </row>
    <row r="2075" spans="1:3" ht="15">
      <c r="A2075" s="113" t="s">
        <v>248</v>
      </c>
      <c r="B2075" s="112" t="s">
        <v>4139</v>
      </c>
      <c r="C2075" s="116" t="s">
        <v>1065</v>
      </c>
    </row>
    <row r="2076" spans="1:3" ht="15">
      <c r="A2076" s="113" t="s">
        <v>248</v>
      </c>
      <c r="B2076" s="112" t="s">
        <v>2764</v>
      </c>
      <c r="C2076" s="116" t="s">
        <v>1065</v>
      </c>
    </row>
    <row r="2077" spans="1:3" ht="15">
      <c r="A2077" s="113" t="s">
        <v>248</v>
      </c>
      <c r="B2077" s="112" t="s">
        <v>2379</v>
      </c>
      <c r="C2077" s="116" t="s">
        <v>1065</v>
      </c>
    </row>
    <row r="2078" spans="1:3" ht="15">
      <c r="A2078" s="113" t="s">
        <v>248</v>
      </c>
      <c r="B2078" s="112" t="s">
        <v>2797</v>
      </c>
      <c r="C2078" s="116" t="s">
        <v>1065</v>
      </c>
    </row>
    <row r="2079" spans="1:3" ht="15">
      <c r="A2079" s="113" t="s">
        <v>248</v>
      </c>
      <c r="B2079" s="112" t="s">
        <v>2712</v>
      </c>
      <c r="C2079" s="116" t="s">
        <v>1065</v>
      </c>
    </row>
    <row r="2080" spans="1:3" ht="15">
      <c r="A2080" s="113" t="s">
        <v>248</v>
      </c>
      <c r="B2080" s="112" t="s">
        <v>2416</v>
      </c>
      <c r="C2080" s="116" t="s">
        <v>1065</v>
      </c>
    </row>
    <row r="2081" spans="1:3" ht="15">
      <c r="A2081" s="113" t="s">
        <v>248</v>
      </c>
      <c r="B2081" s="112" t="s">
        <v>2374</v>
      </c>
      <c r="C2081" s="116" t="s">
        <v>1065</v>
      </c>
    </row>
    <row r="2082" spans="1:3" ht="15">
      <c r="A2082" s="113" t="s">
        <v>248</v>
      </c>
      <c r="B2082" s="112" t="s">
        <v>2373</v>
      </c>
      <c r="C2082" s="116" t="s">
        <v>1065</v>
      </c>
    </row>
    <row r="2083" spans="1:3" ht="15">
      <c r="A2083" s="113" t="s">
        <v>248</v>
      </c>
      <c r="B2083" s="112" t="s">
        <v>681</v>
      </c>
      <c r="C2083" s="116" t="s">
        <v>1065</v>
      </c>
    </row>
    <row r="2084" spans="1:3" ht="15">
      <c r="A2084" s="113" t="s">
        <v>248</v>
      </c>
      <c r="B2084" s="112" t="s">
        <v>4140</v>
      </c>
      <c r="C2084" s="116" t="s">
        <v>1065</v>
      </c>
    </row>
    <row r="2085" spans="1:3" ht="15">
      <c r="A2085" s="113" t="s">
        <v>248</v>
      </c>
      <c r="B2085" s="112" t="s">
        <v>2636</v>
      </c>
      <c r="C2085" s="116" t="s">
        <v>1065</v>
      </c>
    </row>
    <row r="2086" spans="1:3" ht="15">
      <c r="A2086" s="113" t="s">
        <v>297</v>
      </c>
      <c r="B2086" s="112" t="s">
        <v>682</v>
      </c>
      <c r="C2086" s="116" t="s">
        <v>1152</v>
      </c>
    </row>
    <row r="2087" spans="1:3" ht="15">
      <c r="A2087" s="113" t="s">
        <v>297</v>
      </c>
      <c r="B2087" s="112" t="s">
        <v>2636</v>
      </c>
      <c r="C2087" s="116" t="s">
        <v>1152</v>
      </c>
    </row>
    <row r="2088" spans="1:3" ht="15">
      <c r="A2088" s="113" t="s">
        <v>297</v>
      </c>
      <c r="B2088" s="112" t="s">
        <v>4141</v>
      </c>
      <c r="C2088" s="116" t="s">
        <v>1152</v>
      </c>
    </row>
    <row r="2089" spans="1:3" ht="15">
      <c r="A2089" s="113" t="s">
        <v>297</v>
      </c>
      <c r="B2089" s="112" t="s">
        <v>4142</v>
      </c>
      <c r="C2089" s="116" t="s">
        <v>1152</v>
      </c>
    </row>
    <row r="2090" spans="1:3" ht="15">
      <c r="A2090" s="113" t="s">
        <v>297</v>
      </c>
      <c r="B2090" s="112">
        <v>20</v>
      </c>
      <c r="C2090" s="116" t="s">
        <v>1152</v>
      </c>
    </row>
    <row r="2091" spans="1:3" ht="15">
      <c r="A2091" s="113" t="s">
        <v>297</v>
      </c>
      <c r="B2091" s="112" t="s">
        <v>2637</v>
      </c>
      <c r="C2091" s="116" t="s">
        <v>1152</v>
      </c>
    </row>
    <row r="2092" spans="1:3" ht="15">
      <c r="A2092" s="113" t="s">
        <v>297</v>
      </c>
      <c r="B2092" s="112" t="s">
        <v>4143</v>
      </c>
      <c r="C2092" s="116" t="s">
        <v>1152</v>
      </c>
    </row>
    <row r="2093" spans="1:3" ht="15">
      <c r="A2093" s="113" t="s">
        <v>297</v>
      </c>
      <c r="B2093" s="112" t="s">
        <v>4144</v>
      </c>
      <c r="C2093" s="116" t="s">
        <v>1152</v>
      </c>
    </row>
    <row r="2094" spans="1:3" ht="15">
      <c r="A2094" s="113" t="s">
        <v>297</v>
      </c>
      <c r="B2094" s="112" t="s">
        <v>2376</v>
      </c>
      <c r="C2094" s="116" t="s">
        <v>1152</v>
      </c>
    </row>
    <row r="2095" spans="1:3" ht="15">
      <c r="A2095" s="113" t="s">
        <v>297</v>
      </c>
      <c r="B2095" s="112" t="s">
        <v>4145</v>
      </c>
      <c r="C2095" s="116" t="s">
        <v>1152</v>
      </c>
    </row>
    <row r="2096" spans="1:3" ht="15">
      <c r="A2096" s="113" t="s">
        <v>297</v>
      </c>
      <c r="B2096" s="112" t="s">
        <v>4146</v>
      </c>
      <c r="C2096" s="116" t="s">
        <v>1152</v>
      </c>
    </row>
    <row r="2097" spans="1:3" ht="15">
      <c r="A2097" s="113" t="s">
        <v>297</v>
      </c>
      <c r="B2097" s="112" t="s">
        <v>2665</v>
      </c>
      <c r="C2097" s="116" t="s">
        <v>1152</v>
      </c>
    </row>
    <row r="2098" spans="1:3" ht="15">
      <c r="A2098" s="113" t="s">
        <v>270</v>
      </c>
      <c r="B2098" s="112" t="s">
        <v>3006</v>
      </c>
      <c r="C2098" s="116" t="s">
        <v>1104</v>
      </c>
    </row>
    <row r="2099" spans="1:3" ht="15">
      <c r="A2099" s="113" t="s">
        <v>270</v>
      </c>
      <c r="B2099" s="112" t="s">
        <v>2987</v>
      </c>
      <c r="C2099" s="116" t="s">
        <v>1104</v>
      </c>
    </row>
    <row r="2100" spans="1:3" ht="15">
      <c r="A2100" s="113" t="s">
        <v>270</v>
      </c>
      <c r="B2100" s="112" t="s">
        <v>4147</v>
      </c>
      <c r="C2100" s="116" t="s">
        <v>1104</v>
      </c>
    </row>
    <row r="2101" spans="1:3" ht="15">
      <c r="A2101" s="113" t="s">
        <v>270</v>
      </c>
      <c r="B2101" s="112" t="s">
        <v>4148</v>
      </c>
      <c r="C2101" s="116" t="s">
        <v>1104</v>
      </c>
    </row>
    <row r="2102" spans="1:3" ht="15">
      <c r="A2102" s="113" t="s">
        <v>270</v>
      </c>
      <c r="B2102" s="112" t="s">
        <v>2681</v>
      </c>
      <c r="C2102" s="116" t="s">
        <v>1104</v>
      </c>
    </row>
    <row r="2103" spans="1:3" ht="15">
      <c r="A2103" s="113" t="s">
        <v>270</v>
      </c>
      <c r="B2103" s="112" t="s">
        <v>4149</v>
      </c>
      <c r="C2103" s="116" t="s">
        <v>1104</v>
      </c>
    </row>
    <row r="2104" spans="1:3" ht="15">
      <c r="A2104" s="113" t="s">
        <v>270</v>
      </c>
      <c r="B2104" s="112" t="s">
        <v>2720</v>
      </c>
      <c r="C2104" s="116" t="s">
        <v>1104</v>
      </c>
    </row>
    <row r="2105" spans="1:3" ht="15">
      <c r="A2105" s="113" t="s">
        <v>270</v>
      </c>
      <c r="B2105" s="112" t="s">
        <v>2377</v>
      </c>
      <c r="C2105" s="116" t="s">
        <v>1104</v>
      </c>
    </row>
    <row r="2106" spans="1:3" ht="15">
      <c r="A2106" s="113" t="s">
        <v>270</v>
      </c>
      <c r="B2106" s="112" t="s">
        <v>4150</v>
      </c>
      <c r="C2106" s="116" t="s">
        <v>1104</v>
      </c>
    </row>
    <row r="2107" spans="1:3" ht="15">
      <c r="A2107" s="113" t="s">
        <v>270</v>
      </c>
      <c r="B2107" s="112" t="s">
        <v>4151</v>
      </c>
      <c r="C2107" s="116" t="s">
        <v>1104</v>
      </c>
    </row>
    <row r="2108" spans="1:3" ht="15">
      <c r="A2108" s="113" t="s">
        <v>270</v>
      </c>
      <c r="B2108" s="112" t="s">
        <v>2682</v>
      </c>
      <c r="C2108" s="116" t="s">
        <v>1104</v>
      </c>
    </row>
    <row r="2109" spans="1:3" ht="15">
      <c r="A2109" s="113" t="s">
        <v>270</v>
      </c>
      <c r="B2109" s="112" t="s">
        <v>388</v>
      </c>
      <c r="C2109" s="116" t="s">
        <v>1104</v>
      </c>
    </row>
    <row r="2110" spans="1:3" ht="15">
      <c r="A2110" s="113" t="s">
        <v>270</v>
      </c>
      <c r="B2110" s="112" t="s">
        <v>2825</v>
      </c>
      <c r="C2110" s="116" t="s">
        <v>1104</v>
      </c>
    </row>
    <row r="2111" spans="1:3" ht="15">
      <c r="A2111" s="113" t="s">
        <v>270</v>
      </c>
      <c r="B2111" s="112" t="s">
        <v>4152</v>
      </c>
      <c r="C2111" s="116" t="s">
        <v>1104</v>
      </c>
    </row>
    <row r="2112" spans="1:3" ht="15">
      <c r="A2112" s="113" t="s">
        <v>270</v>
      </c>
      <c r="B2112" s="112" t="s">
        <v>2933</v>
      </c>
      <c r="C2112" s="116" t="s">
        <v>1104</v>
      </c>
    </row>
    <row r="2113" spans="1:3" ht="15">
      <c r="A2113" s="113" t="s">
        <v>270</v>
      </c>
      <c r="B2113" s="112" t="s">
        <v>4153</v>
      </c>
      <c r="C2113" s="116" t="s">
        <v>1104</v>
      </c>
    </row>
    <row r="2114" spans="1:3" ht="15">
      <c r="A2114" s="113" t="s">
        <v>270</v>
      </c>
      <c r="B2114" s="112" t="s">
        <v>2883</v>
      </c>
      <c r="C2114" s="116" t="s">
        <v>1104</v>
      </c>
    </row>
    <row r="2115" spans="1:3" ht="15">
      <c r="A2115" s="113" t="s">
        <v>270</v>
      </c>
      <c r="B2115" s="112" t="s">
        <v>4154</v>
      </c>
      <c r="C2115" s="116" t="s">
        <v>1104</v>
      </c>
    </row>
    <row r="2116" spans="1:3" ht="15">
      <c r="A2116" s="113" t="s">
        <v>270</v>
      </c>
      <c r="B2116" s="112" t="s">
        <v>2854</v>
      </c>
      <c r="C2116" s="116" t="s">
        <v>1104</v>
      </c>
    </row>
    <row r="2117" spans="1:3" ht="15">
      <c r="A2117" s="113" t="s">
        <v>270</v>
      </c>
      <c r="B2117" s="112" t="s">
        <v>2376</v>
      </c>
      <c r="C2117" s="116" t="s">
        <v>1104</v>
      </c>
    </row>
    <row r="2118" spans="1:3" ht="15">
      <c r="A2118" s="113" t="s">
        <v>270</v>
      </c>
      <c r="B2118" s="112" t="s">
        <v>2930</v>
      </c>
      <c r="C2118" s="116" t="s">
        <v>1104</v>
      </c>
    </row>
    <row r="2119" spans="1:3" ht="15">
      <c r="A2119" s="113" t="s">
        <v>270</v>
      </c>
      <c r="B2119" s="112" t="s">
        <v>2767</v>
      </c>
      <c r="C2119" s="116" t="s">
        <v>1104</v>
      </c>
    </row>
    <row r="2120" spans="1:3" ht="15">
      <c r="A2120" s="113" t="s">
        <v>270</v>
      </c>
      <c r="B2120" s="112" t="s">
        <v>2719</v>
      </c>
      <c r="C2120" s="116" t="s">
        <v>1104</v>
      </c>
    </row>
    <row r="2121" spans="1:3" ht="15">
      <c r="A2121" s="113" t="s">
        <v>245</v>
      </c>
      <c r="B2121" s="112" t="s">
        <v>2374</v>
      </c>
      <c r="C2121" s="116" t="s">
        <v>1059</v>
      </c>
    </row>
    <row r="2122" spans="1:3" ht="15">
      <c r="A2122" s="113" t="s">
        <v>245</v>
      </c>
      <c r="B2122" s="112" t="s">
        <v>2373</v>
      </c>
      <c r="C2122" s="116" t="s">
        <v>1059</v>
      </c>
    </row>
    <row r="2123" spans="1:3" ht="15">
      <c r="A2123" s="113" t="s">
        <v>245</v>
      </c>
      <c r="B2123" s="112" t="s">
        <v>681</v>
      </c>
      <c r="C2123" s="116" t="s">
        <v>1059</v>
      </c>
    </row>
    <row r="2124" spans="1:3" ht="15">
      <c r="A2124" s="113" t="s">
        <v>245</v>
      </c>
      <c r="B2124" s="112" t="s">
        <v>4155</v>
      </c>
      <c r="C2124" s="116" t="s">
        <v>1059</v>
      </c>
    </row>
    <row r="2125" spans="1:3" ht="15">
      <c r="A2125" s="113" t="s">
        <v>245</v>
      </c>
      <c r="B2125" s="112" t="s">
        <v>2812</v>
      </c>
      <c r="C2125" s="116" t="s">
        <v>1059</v>
      </c>
    </row>
    <row r="2126" spans="1:3" ht="15">
      <c r="A2126" s="113" t="s">
        <v>245</v>
      </c>
      <c r="B2126" s="112" t="s">
        <v>2728</v>
      </c>
      <c r="C2126" s="116" t="s">
        <v>1059</v>
      </c>
    </row>
    <row r="2127" spans="1:3" ht="15">
      <c r="A2127" s="113" t="s">
        <v>314</v>
      </c>
      <c r="B2127" s="112">
        <v>45</v>
      </c>
      <c r="C2127" s="116" t="s">
        <v>1171</v>
      </c>
    </row>
    <row r="2128" spans="1:3" ht="15">
      <c r="A2128" s="113" t="s">
        <v>314</v>
      </c>
      <c r="B2128" s="112" t="s">
        <v>2811</v>
      </c>
      <c r="C2128" s="116" t="s">
        <v>1171</v>
      </c>
    </row>
    <row r="2129" spans="1:3" ht="15">
      <c r="A2129" s="113" t="s">
        <v>314</v>
      </c>
      <c r="B2129" s="112" t="s">
        <v>2676</v>
      </c>
      <c r="C2129" s="116" t="s">
        <v>1171</v>
      </c>
    </row>
    <row r="2130" spans="1:3" ht="15">
      <c r="A2130" s="113" t="s">
        <v>314</v>
      </c>
      <c r="B2130" s="112" t="s">
        <v>4156</v>
      </c>
      <c r="C2130" s="116" t="s">
        <v>1171</v>
      </c>
    </row>
    <row r="2131" spans="1:3" ht="15">
      <c r="A2131" s="113" t="s">
        <v>314</v>
      </c>
      <c r="B2131" s="112">
        <v>2017</v>
      </c>
      <c r="C2131" s="116" t="s">
        <v>1171</v>
      </c>
    </row>
    <row r="2132" spans="1:3" ht="15">
      <c r="A2132" s="113" t="s">
        <v>314</v>
      </c>
      <c r="B2132" s="112">
        <v>7</v>
      </c>
      <c r="C2132" s="116" t="s">
        <v>1171</v>
      </c>
    </row>
    <row r="2133" spans="1:3" ht="15">
      <c r="A2133" s="113" t="s">
        <v>314</v>
      </c>
      <c r="B2133" s="112" t="s">
        <v>2777</v>
      </c>
      <c r="C2133" s="116" t="s">
        <v>1171</v>
      </c>
    </row>
    <row r="2134" spans="1:3" ht="15">
      <c r="A2134" s="113" t="s">
        <v>314</v>
      </c>
      <c r="B2134" s="112">
        <v>222</v>
      </c>
      <c r="C2134" s="116" t="s">
        <v>1171</v>
      </c>
    </row>
    <row r="2135" spans="1:3" ht="15">
      <c r="A2135" s="113" t="s">
        <v>314</v>
      </c>
      <c r="B2135" s="112" t="s">
        <v>2808</v>
      </c>
      <c r="C2135" s="116" t="s">
        <v>1171</v>
      </c>
    </row>
    <row r="2136" spans="1:3" ht="15">
      <c r="A2136" s="113" t="s">
        <v>314</v>
      </c>
      <c r="B2136" s="112" t="s">
        <v>4157</v>
      </c>
      <c r="C2136" s="116" t="s">
        <v>1171</v>
      </c>
    </row>
    <row r="2137" spans="1:3" ht="15">
      <c r="A2137" s="113" t="s">
        <v>314</v>
      </c>
      <c r="B2137" s="112" t="s">
        <v>4158</v>
      </c>
      <c r="C2137" s="116" t="s">
        <v>1171</v>
      </c>
    </row>
    <row r="2138" spans="1:3" ht="15">
      <c r="A2138" s="113" t="s">
        <v>314</v>
      </c>
      <c r="B2138" s="112" t="s">
        <v>2374</v>
      </c>
      <c r="C2138" s="116" t="s">
        <v>1171</v>
      </c>
    </row>
    <row r="2139" spans="1:3" ht="15">
      <c r="A2139" s="113" t="s">
        <v>314</v>
      </c>
      <c r="B2139" s="112" t="s">
        <v>2373</v>
      </c>
      <c r="C2139" s="116" t="s">
        <v>1171</v>
      </c>
    </row>
    <row r="2140" spans="1:3" ht="15">
      <c r="A2140" s="113" t="s">
        <v>314</v>
      </c>
      <c r="B2140" s="112" t="s">
        <v>2637</v>
      </c>
      <c r="C2140" s="116" t="s">
        <v>1171</v>
      </c>
    </row>
    <row r="2141" spans="1:3" ht="15">
      <c r="A2141" s="113" t="s">
        <v>314</v>
      </c>
      <c r="B2141" s="112" t="s">
        <v>2643</v>
      </c>
      <c r="C2141" s="116" t="s">
        <v>1171</v>
      </c>
    </row>
    <row r="2142" spans="1:3" ht="15">
      <c r="A2142" s="113" t="s">
        <v>314</v>
      </c>
      <c r="B2142" s="112" t="s">
        <v>2691</v>
      </c>
      <c r="C2142" s="116" t="s">
        <v>1171</v>
      </c>
    </row>
    <row r="2143" spans="1:3" ht="15">
      <c r="A2143" s="113" t="s">
        <v>314</v>
      </c>
      <c r="B2143" s="112" t="s">
        <v>2642</v>
      </c>
      <c r="C2143" s="116" t="s">
        <v>1171</v>
      </c>
    </row>
    <row r="2144" spans="1:3" ht="15">
      <c r="A2144" s="113" t="s">
        <v>314</v>
      </c>
      <c r="B2144" s="112" t="s">
        <v>2652</v>
      </c>
      <c r="C2144" s="116" t="s">
        <v>1171</v>
      </c>
    </row>
    <row r="2145" spans="1:3" ht="15">
      <c r="A2145" s="113" t="s">
        <v>314</v>
      </c>
      <c r="B2145" s="112" t="s">
        <v>3021</v>
      </c>
      <c r="C2145" s="116" t="s">
        <v>1171</v>
      </c>
    </row>
    <row r="2146" spans="1:3" ht="15">
      <c r="A2146" s="113" t="s">
        <v>314</v>
      </c>
      <c r="B2146" s="112" t="s">
        <v>2820</v>
      </c>
      <c r="C2146" s="116" t="s">
        <v>1171</v>
      </c>
    </row>
    <row r="2147" spans="1:3" ht="15">
      <c r="A2147" s="113" t="s">
        <v>280</v>
      </c>
      <c r="B2147" s="112" t="s">
        <v>2374</v>
      </c>
      <c r="C2147" s="116" t="s">
        <v>1121</v>
      </c>
    </row>
    <row r="2148" spans="1:3" ht="15">
      <c r="A2148" s="113" t="s">
        <v>280</v>
      </c>
      <c r="B2148" s="112" t="s">
        <v>2373</v>
      </c>
      <c r="C2148" s="116" t="s">
        <v>1121</v>
      </c>
    </row>
    <row r="2149" spans="1:3" ht="15">
      <c r="A2149" s="113" t="s">
        <v>280</v>
      </c>
      <c r="B2149" s="112" t="s">
        <v>681</v>
      </c>
      <c r="C2149" s="116" t="s">
        <v>1121</v>
      </c>
    </row>
    <row r="2150" spans="1:3" ht="15">
      <c r="A2150" s="113" t="s">
        <v>280</v>
      </c>
      <c r="B2150" s="112" t="s">
        <v>2748</v>
      </c>
      <c r="C2150" s="116" t="s">
        <v>1121</v>
      </c>
    </row>
    <row r="2151" spans="1:3" ht="15">
      <c r="A2151" s="113" t="s">
        <v>280</v>
      </c>
      <c r="B2151" s="112" t="s">
        <v>2378</v>
      </c>
      <c r="C2151" s="116" t="s">
        <v>1121</v>
      </c>
    </row>
    <row r="2152" spans="1:3" ht="15">
      <c r="A2152" s="113" t="s">
        <v>280</v>
      </c>
      <c r="B2152" s="112" t="s">
        <v>2684</v>
      </c>
      <c r="C2152" s="116" t="s">
        <v>1121</v>
      </c>
    </row>
    <row r="2153" spans="1:3" ht="15">
      <c r="A2153" s="113" t="s">
        <v>280</v>
      </c>
      <c r="B2153" s="112" t="s">
        <v>2379</v>
      </c>
      <c r="C2153" s="116" t="s">
        <v>1121</v>
      </c>
    </row>
    <row r="2154" spans="1:3" ht="15">
      <c r="A2154" s="113" t="s">
        <v>280</v>
      </c>
      <c r="B2154" s="112" t="s">
        <v>2380</v>
      </c>
      <c r="C2154" s="116" t="s">
        <v>1121</v>
      </c>
    </row>
    <row r="2155" spans="1:3" ht="15">
      <c r="A2155" s="113" t="s">
        <v>280</v>
      </c>
      <c r="B2155" s="112" t="s">
        <v>4159</v>
      </c>
      <c r="C2155" s="116" t="s">
        <v>1121</v>
      </c>
    </row>
    <row r="2156" spans="1:3" ht="15">
      <c r="A2156" s="113" t="s">
        <v>280</v>
      </c>
      <c r="B2156" s="112" t="s">
        <v>2991</v>
      </c>
      <c r="C2156" s="116" t="s">
        <v>1121</v>
      </c>
    </row>
    <row r="2157" spans="1:3" ht="15">
      <c r="A2157" s="113" t="s">
        <v>280</v>
      </c>
      <c r="B2157" s="112" t="s">
        <v>2640</v>
      </c>
      <c r="C2157" s="116" t="s">
        <v>1121</v>
      </c>
    </row>
    <row r="2158" spans="1:3" ht="15">
      <c r="A2158" s="113" t="s">
        <v>280</v>
      </c>
      <c r="B2158" s="112" t="s">
        <v>339</v>
      </c>
      <c r="C2158" s="116" t="s">
        <v>1121</v>
      </c>
    </row>
    <row r="2159" spans="1:3" ht="15">
      <c r="A2159" s="113" t="s">
        <v>230</v>
      </c>
      <c r="B2159" s="112" t="s">
        <v>2922</v>
      </c>
      <c r="C2159" s="116" t="s">
        <v>1038</v>
      </c>
    </row>
    <row r="2160" spans="1:3" ht="15">
      <c r="A2160" s="113" t="s">
        <v>230</v>
      </c>
      <c r="B2160" s="112" t="s">
        <v>2983</v>
      </c>
      <c r="C2160" s="116" t="s">
        <v>1038</v>
      </c>
    </row>
    <row r="2161" spans="1:3" ht="15">
      <c r="A2161" s="113" t="s">
        <v>230</v>
      </c>
      <c r="B2161" s="112" t="s">
        <v>2752</v>
      </c>
      <c r="C2161" s="116" t="s">
        <v>1038</v>
      </c>
    </row>
    <row r="2162" spans="1:3" ht="15">
      <c r="A2162" s="113" t="s">
        <v>230</v>
      </c>
      <c r="B2162" s="112" t="s">
        <v>2660</v>
      </c>
      <c r="C2162" s="116" t="s">
        <v>1038</v>
      </c>
    </row>
    <row r="2163" spans="1:3" ht="15">
      <c r="A2163" s="113" t="s">
        <v>230</v>
      </c>
      <c r="B2163" s="112" t="s">
        <v>2924</v>
      </c>
      <c r="C2163" s="116" t="s">
        <v>1038</v>
      </c>
    </row>
    <row r="2164" spans="1:3" ht="15">
      <c r="A2164" s="113" t="s">
        <v>230</v>
      </c>
      <c r="B2164" s="112" t="s">
        <v>2687</v>
      </c>
      <c r="C2164" s="116" t="s">
        <v>1038</v>
      </c>
    </row>
    <row r="2165" spans="1:3" ht="15">
      <c r="A2165" s="113" t="s">
        <v>230</v>
      </c>
      <c r="B2165" s="112" t="s">
        <v>2967</v>
      </c>
      <c r="C2165" s="116" t="s">
        <v>1038</v>
      </c>
    </row>
    <row r="2166" spans="1:3" ht="15">
      <c r="A2166" s="113" t="s">
        <v>230</v>
      </c>
      <c r="B2166" s="112" t="s">
        <v>2704</v>
      </c>
      <c r="C2166" s="116" t="s">
        <v>1038</v>
      </c>
    </row>
    <row r="2167" spans="1:3" ht="15">
      <c r="A2167" s="113" t="s">
        <v>230</v>
      </c>
      <c r="B2167" s="112" t="s">
        <v>2376</v>
      </c>
      <c r="C2167" s="116" t="s">
        <v>1038</v>
      </c>
    </row>
    <row r="2168" spans="1:3" ht="15">
      <c r="A2168" s="113" t="s">
        <v>230</v>
      </c>
      <c r="B2168" s="112" t="s">
        <v>2374</v>
      </c>
      <c r="C2168" s="116" t="s">
        <v>1038</v>
      </c>
    </row>
    <row r="2169" spans="1:3" ht="15">
      <c r="A2169" s="113" t="s">
        <v>230</v>
      </c>
      <c r="B2169" s="112" t="s">
        <v>2645</v>
      </c>
      <c r="C2169" s="116" t="s">
        <v>1038</v>
      </c>
    </row>
    <row r="2170" spans="1:3" ht="15">
      <c r="A2170" s="113" t="s">
        <v>230</v>
      </c>
      <c r="B2170" s="112" t="s">
        <v>2373</v>
      </c>
      <c r="C2170" s="116" t="s">
        <v>1038</v>
      </c>
    </row>
    <row r="2171" spans="1:3" ht="15">
      <c r="A2171" s="113" t="s">
        <v>230</v>
      </c>
      <c r="B2171" s="112" t="s">
        <v>681</v>
      </c>
      <c r="C2171" s="116" t="s">
        <v>1038</v>
      </c>
    </row>
    <row r="2172" spans="1:3" ht="15">
      <c r="A2172" s="113" t="s">
        <v>230</v>
      </c>
      <c r="B2172" s="112" t="s">
        <v>2701</v>
      </c>
      <c r="C2172" s="116" t="s">
        <v>1038</v>
      </c>
    </row>
    <row r="2173" spans="1:3" ht="15">
      <c r="A2173" s="113" t="s">
        <v>230</v>
      </c>
      <c r="B2173" s="112" t="s">
        <v>2909</v>
      </c>
      <c r="C2173" s="116" t="s">
        <v>1038</v>
      </c>
    </row>
    <row r="2174" spans="1:3" ht="15">
      <c r="A2174" s="113" t="s">
        <v>230</v>
      </c>
      <c r="B2174" s="112" t="s">
        <v>2676</v>
      </c>
      <c r="C2174" s="116" t="s">
        <v>1038</v>
      </c>
    </row>
    <row r="2175" spans="1:3" ht="15">
      <c r="A2175" s="113" t="s">
        <v>230</v>
      </c>
      <c r="B2175" s="112" t="s">
        <v>2661</v>
      </c>
      <c r="C2175" s="116" t="s">
        <v>1038</v>
      </c>
    </row>
    <row r="2176" spans="1:3" ht="15">
      <c r="A2176" s="113" t="s">
        <v>230</v>
      </c>
      <c r="B2176" s="112" t="s">
        <v>2663</v>
      </c>
      <c r="C2176" s="116" t="s">
        <v>1038</v>
      </c>
    </row>
    <row r="2177" spans="1:3" ht="15">
      <c r="A2177" s="113" t="s">
        <v>230</v>
      </c>
      <c r="B2177" s="112" t="s">
        <v>2847</v>
      </c>
      <c r="C2177" s="116" t="s">
        <v>1038</v>
      </c>
    </row>
    <row r="2178" spans="1:3" ht="15">
      <c r="A2178" s="113" t="s">
        <v>230</v>
      </c>
      <c r="B2178" s="112" t="s">
        <v>2786</v>
      </c>
      <c r="C2178" s="116" t="s">
        <v>1038</v>
      </c>
    </row>
    <row r="2179" spans="1:3" ht="15">
      <c r="A2179" s="113" t="s">
        <v>230</v>
      </c>
      <c r="B2179" s="112" t="s">
        <v>333</v>
      </c>
      <c r="C2179" s="116" t="s">
        <v>1038</v>
      </c>
    </row>
    <row r="2180" spans="1:3" ht="15">
      <c r="A2180" s="113" t="s">
        <v>234</v>
      </c>
      <c r="B2180" s="112" t="s">
        <v>2374</v>
      </c>
      <c r="C2180" s="116" t="s">
        <v>1043</v>
      </c>
    </row>
    <row r="2181" spans="1:3" ht="15">
      <c r="A2181" s="113" t="s">
        <v>234</v>
      </c>
      <c r="B2181" s="112" t="s">
        <v>2373</v>
      </c>
      <c r="C2181" s="116" t="s">
        <v>1043</v>
      </c>
    </row>
    <row r="2182" spans="1:3" ht="15">
      <c r="A2182" s="113" t="s">
        <v>234</v>
      </c>
      <c r="B2182" s="112" t="s">
        <v>681</v>
      </c>
      <c r="C2182" s="116" t="s">
        <v>1043</v>
      </c>
    </row>
    <row r="2183" spans="1:3" ht="15">
      <c r="A2183" s="113" t="s">
        <v>234</v>
      </c>
      <c r="B2183" s="112">
        <v>0</v>
      </c>
      <c r="C2183" s="116" t="s">
        <v>1043</v>
      </c>
    </row>
    <row r="2184" spans="1:3" ht="15">
      <c r="A2184" s="113" t="s">
        <v>234</v>
      </c>
      <c r="B2184" s="112" t="s">
        <v>2380</v>
      </c>
      <c r="C2184" s="116" t="s">
        <v>1043</v>
      </c>
    </row>
    <row r="2185" spans="1:3" ht="15">
      <c r="A2185" s="113" t="s">
        <v>234</v>
      </c>
      <c r="B2185" s="112" t="s">
        <v>2715</v>
      </c>
      <c r="C2185" s="116" t="s">
        <v>1043</v>
      </c>
    </row>
    <row r="2186" spans="1:3" ht="15">
      <c r="A2186" s="113" t="s">
        <v>234</v>
      </c>
      <c r="B2186" s="112" t="s">
        <v>4160</v>
      </c>
      <c r="C2186" s="116" t="s">
        <v>1043</v>
      </c>
    </row>
    <row r="2187" spans="1:3" ht="15">
      <c r="A2187" s="113" t="s">
        <v>234</v>
      </c>
      <c r="B2187" s="112" t="s">
        <v>2638</v>
      </c>
      <c r="C2187" s="116" t="s">
        <v>1043</v>
      </c>
    </row>
    <row r="2188" spans="1:3" ht="15">
      <c r="A2188" s="113" t="s">
        <v>248</v>
      </c>
      <c r="B2188" s="112" t="s">
        <v>2374</v>
      </c>
      <c r="C2188" s="116" t="s">
        <v>1066</v>
      </c>
    </row>
    <row r="2189" spans="1:3" ht="15">
      <c r="A2189" s="113" t="s">
        <v>248</v>
      </c>
      <c r="B2189" s="112" t="s">
        <v>2373</v>
      </c>
      <c r="C2189" s="116" t="s">
        <v>1066</v>
      </c>
    </row>
    <row r="2190" spans="1:3" ht="15">
      <c r="A2190" s="113" t="s">
        <v>248</v>
      </c>
      <c r="B2190" s="112" t="s">
        <v>681</v>
      </c>
      <c r="C2190" s="116" t="s">
        <v>1066</v>
      </c>
    </row>
    <row r="2191" spans="1:3" ht="15">
      <c r="A2191" s="113" t="s">
        <v>248</v>
      </c>
      <c r="B2191" s="112" t="s">
        <v>4161</v>
      </c>
      <c r="C2191" s="116" t="s">
        <v>1066</v>
      </c>
    </row>
    <row r="2192" spans="1:3" ht="15">
      <c r="A2192" s="113" t="s">
        <v>248</v>
      </c>
      <c r="B2192" s="112" t="s">
        <v>2855</v>
      </c>
      <c r="C2192" s="116" t="s">
        <v>1066</v>
      </c>
    </row>
    <row r="2193" spans="1:3" ht="15">
      <c r="A2193" s="113" t="s">
        <v>248</v>
      </c>
      <c r="B2193" s="112" t="s">
        <v>2754</v>
      </c>
      <c r="C2193" s="116" t="s">
        <v>1066</v>
      </c>
    </row>
    <row r="2194" spans="1:3" ht="15">
      <c r="A2194" s="113" t="s">
        <v>248</v>
      </c>
      <c r="B2194" s="112" t="s">
        <v>4162</v>
      </c>
      <c r="C2194" s="116" t="s">
        <v>1066</v>
      </c>
    </row>
    <row r="2195" spans="1:3" ht="15">
      <c r="A2195" s="113" t="s">
        <v>284</v>
      </c>
      <c r="B2195" s="112" t="s">
        <v>2658</v>
      </c>
      <c r="C2195" s="116" t="s">
        <v>1129</v>
      </c>
    </row>
    <row r="2196" spans="1:3" ht="15">
      <c r="A2196" s="113" t="s">
        <v>284</v>
      </c>
      <c r="B2196" s="112" t="s">
        <v>2660</v>
      </c>
      <c r="C2196" s="116" t="s">
        <v>1129</v>
      </c>
    </row>
    <row r="2197" spans="1:3" ht="15">
      <c r="A2197" s="113" t="s">
        <v>284</v>
      </c>
      <c r="B2197" s="112" t="s">
        <v>2639</v>
      </c>
      <c r="C2197" s="116" t="s">
        <v>1129</v>
      </c>
    </row>
    <row r="2198" spans="1:3" ht="15">
      <c r="A2198" s="113" t="s">
        <v>284</v>
      </c>
      <c r="B2198" s="112" t="s">
        <v>2894</v>
      </c>
      <c r="C2198" s="116" t="s">
        <v>1129</v>
      </c>
    </row>
    <row r="2199" spans="1:3" ht="15">
      <c r="A2199" s="113" t="s">
        <v>284</v>
      </c>
      <c r="B2199" s="112" t="s">
        <v>2910</v>
      </c>
      <c r="C2199" s="116" t="s">
        <v>1129</v>
      </c>
    </row>
    <row r="2200" spans="1:3" ht="15">
      <c r="A2200" s="113" t="s">
        <v>284</v>
      </c>
      <c r="B2200" s="112" t="s">
        <v>4163</v>
      </c>
      <c r="C2200" s="116" t="s">
        <v>1129</v>
      </c>
    </row>
    <row r="2201" spans="1:3" ht="15">
      <c r="A2201" s="113" t="s">
        <v>284</v>
      </c>
      <c r="B2201" s="112" t="s">
        <v>2657</v>
      </c>
      <c r="C2201" s="116" t="s">
        <v>1129</v>
      </c>
    </row>
    <row r="2202" spans="1:3" ht="15">
      <c r="A2202" s="113" t="s">
        <v>284</v>
      </c>
      <c r="B2202" s="112" t="s">
        <v>2700</v>
      </c>
      <c r="C2202" s="116" t="s">
        <v>1129</v>
      </c>
    </row>
    <row r="2203" spans="1:3" ht="15">
      <c r="A2203" s="113" t="s">
        <v>284</v>
      </c>
      <c r="B2203" s="112" t="s">
        <v>2379</v>
      </c>
      <c r="C2203" s="116" t="s">
        <v>1129</v>
      </c>
    </row>
    <row r="2204" spans="1:3" ht="15">
      <c r="A2204" s="113" t="s">
        <v>284</v>
      </c>
      <c r="B2204" s="112" t="s">
        <v>2677</v>
      </c>
      <c r="C2204" s="116" t="s">
        <v>1129</v>
      </c>
    </row>
    <row r="2205" spans="1:3" ht="15">
      <c r="A2205" s="113" t="s">
        <v>284</v>
      </c>
      <c r="B2205" s="112" t="s">
        <v>2724</v>
      </c>
      <c r="C2205" s="116" t="s">
        <v>1129</v>
      </c>
    </row>
    <row r="2206" spans="1:3" ht="15">
      <c r="A2206" s="113" t="s">
        <v>284</v>
      </c>
      <c r="B2206" s="112" t="s">
        <v>2703</v>
      </c>
      <c r="C2206" s="116" t="s">
        <v>1129</v>
      </c>
    </row>
    <row r="2207" spans="1:3" ht="15">
      <c r="A2207" s="113" t="s">
        <v>284</v>
      </c>
      <c r="B2207" s="112" t="s">
        <v>2374</v>
      </c>
      <c r="C2207" s="116" t="s">
        <v>1129</v>
      </c>
    </row>
    <row r="2208" spans="1:3" ht="15">
      <c r="A2208" s="113" t="s">
        <v>284</v>
      </c>
      <c r="B2208" s="112" t="s">
        <v>2373</v>
      </c>
      <c r="C2208" s="116" t="s">
        <v>1129</v>
      </c>
    </row>
    <row r="2209" spans="1:3" ht="15">
      <c r="A2209" s="113" t="s">
        <v>284</v>
      </c>
      <c r="B2209" s="112" t="s">
        <v>2380</v>
      </c>
      <c r="C2209" s="116" t="s">
        <v>1129</v>
      </c>
    </row>
    <row r="2210" spans="1:3" ht="15">
      <c r="A2210" s="113" t="s">
        <v>284</v>
      </c>
      <c r="B2210" s="112" t="s">
        <v>681</v>
      </c>
      <c r="C2210" s="116" t="s">
        <v>1129</v>
      </c>
    </row>
    <row r="2211" spans="1:3" ht="15">
      <c r="A2211" s="113" t="s">
        <v>284</v>
      </c>
      <c r="B2211" s="112" t="s">
        <v>416</v>
      </c>
      <c r="C2211" s="116" t="s">
        <v>1129</v>
      </c>
    </row>
    <row r="2212" spans="1:3" ht="15">
      <c r="A2212" s="113" t="s">
        <v>234</v>
      </c>
      <c r="B2212" s="112" t="s">
        <v>2374</v>
      </c>
      <c r="C2212" s="116" t="s">
        <v>1042</v>
      </c>
    </row>
    <row r="2213" spans="1:3" ht="15">
      <c r="A2213" s="113" t="s">
        <v>234</v>
      </c>
      <c r="B2213" s="112" t="s">
        <v>2373</v>
      </c>
      <c r="C2213" s="116" t="s">
        <v>1042</v>
      </c>
    </row>
    <row r="2214" spans="1:3" ht="15">
      <c r="A2214" s="113" t="s">
        <v>234</v>
      </c>
      <c r="B2214" s="112" t="s">
        <v>681</v>
      </c>
      <c r="C2214" s="116" t="s">
        <v>1042</v>
      </c>
    </row>
    <row r="2215" spans="1:3" ht="15">
      <c r="A2215" s="113" t="s">
        <v>234</v>
      </c>
      <c r="B2215" s="112" t="s">
        <v>4164</v>
      </c>
      <c r="C2215" s="116" t="s">
        <v>1042</v>
      </c>
    </row>
    <row r="2216" spans="1:3" ht="15">
      <c r="A2216" s="113" t="s">
        <v>234</v>
      </c>
      <c r="B2216" s="112" t="s">
        <v>2721</v>
      </c>
      <c r="C2216" s="116" t="s">
        <v>1042</v>
      </c>
    </row>
    <row r="2217" spans="1:3" ht="15">
      <c r="A2217" s="113" t="s">
        <v>234</v>
      </c>
      <c r="B2217" s="112" t="s">
        <v>2776</v>
      </c>
      <c r="C2217" s="116" t="s">
        <v>1042</v>
      </c>
    </row>
    <row r="2218" spans="1:3" ht="15">
      <c r="A2218" s="113" t="s">
        <v>234</v>
      </c>
      <c r="B2218" s="112" t="s">
        <v>4165</v>
      </c>
      <c r="C2218" s="116" t="s">
        <v>1042</v>
      </c>
    </row>
    <row r="2219" spans="1:3" ht="15">
      <c r="A2219" s="113" t="s">
        <v>234</v>
      </c>
      <c r="B2219" s="112" t="s">
        <v>4166</v>
      </c>
      <c r="C2219" s="116" t="s">
        <v>1042</v>
      </c>
    </row>
    <row r="2220" spans="1:3" ht="15">
      <c r="A2220" s="113" t="s">
        <v>234</v>
      </c>
      <c r="B2220" s="112" t="s">
        <v>4167</v>
      </c>
      <c r="C2220" s="116" t="s">
        <v>1042</v>
      </c>
    </row>
    <row r="2221" spans="1:3" ht="15">
      <c r="A2221" s="113" t="s">
        <v>234</v>
      </c>
      <c r="B2221" s="112" t="s">
        <v>353</v>
      </c>
      <c r="C2221" s="116" t="s">
        <v>1042</v>
      </c>
    </row>
    <row r="2222" spans="1:3" ht="15">
      <c r="A2222" s="113" t="s">
        <v>234</v>
      </c>
      <c r="B2222" s="112" t="s">
        <v>334</v>
      </c>
      <c r="C2222" s="116" t="s">
        <v>1042</v>
      </c>
    </row>
    <row r="2223" spans="1:3" ht="15">
      <c r="A2223" s="113" t="s">
        <v>236</v>
      </c>
      <c r="B2223" s="112" t="s">
        <v>2671</v>
      </c>
      <c r="C2223" s="116" t="s">
        <v>1045</v>
      </c>
    </row>
    <row r="2224" spans="1:3" ht="15">
      <c r="A2224" s="113" t="s">
        <v>236</v>
      </c>
      <c r="B2224" s="112" t="s">
        <v>4168</v>
      </c>
      <c r="C2224" s="116" t="s">
        <v>1045</v>
      </c>
    </row>
    <row r="2225" spans="1:3" ht="15">
      <c r="A2225" s="113" t="s">
        <v>236</v>
      </c>
      <c r="B2225" s="112" t="s">
        <v>4169</v>
      </c>
      <c r="C2225" s="116" t="s">
        <v>1045</v>
      </c>
    </row>
    <row r="2226" spans="1:3" ht="15">
      <c r="A2226" s="113" t="s">
        <v>236</v>
      </c>
      <c r="B2226" s="112" t="s">
        <v>2876</v>
      </c>
      <c r="C2226" s="116" t="s">
        <v>1045</v>
      </c>
    </row>
    <row r="2227" spans="1:3" ht="15">
      <c r="A2227" s="113" t="s">
        <v>236</v>
      </c>
      <c r="B2227" s="112" t="s">
        <v>4170</v>
      </c>
      <c r="C2227" s="116" t="s">
        <v>1045</v>
      </c>
    </row>
    <row r="2228" spans="1:3" ht="15">
      <c r="A2228" s="113" t="s">
        <v>236</v>
      </c>
      <c r="B2228" s="112" t="s">
        <v>2374</v>
      </c>
      <c r="C2228" s="116" t="s">
        <v>1045</v>
      </c>
    </row>
    <row r="2229" spans="1:3" ht="15">
      <c r="A2229" s="113" t="s">
        <v>236</v>
      </c>
      <c r="B2229" s="112" t="s">
        <v>2373</v>
      </c>
      <c r="C2229" s="116" t="s">
        <v>1045</v>
      </c>
    </row>
    <row r="2230" spans="1:3" ht="15">
      <c r="A2230" s="113" t="s">
        <v>236</v>
      </c>
      <c r="B2230" s="112" t="s">
        <v>681</v>
      </c>
      <c r="C2230" s="116" t="s">
        <v>1045</v>
      </c>
    </row>
    <row r="2231" spans="1:3" ht="15">
      <c r="A2231" s="113" t="s">
        <v>236</v>
      </c>
      <c r="B2231" s="112" t="s">
        <v>318</v>
      </c>
      <c r="C2231" s="116" t="s">
        <v>1045</v>
      </c>
    </row>
    <row r="2232" spans="1:3" ht="15">
      <c r="A2232" s="113" t="s">
        <v>236</v>
      </c>
      <c r="B2232" s="112" t="s">
        <v>3353</v>
      </c>
      <c r="C2232" s="116" t="s">
        <v>1045</v>
      </c>
    </row>
    <row r="2233" spans="1:3" ht="15">
      <c r="A2233" s="113" t="s">
        <v>236</v>
      </c>
      <c r="B2233" s="112" t="s">
        <v>3351</v>
      </c>
      <c r="C2233" s="116" t="s">
        <v>1045</v>
      </c>
    </row>
    <row r="2234" spans="1:3" ht="15">
      <c r="A2234" s="113" t="s">
        <v>307</v>
      </c>
      <c r="B2234" s="112" t="s">
        <v>2374</v>
      </c>
      <c r="C2234" s="116" t="s">
        <v>1162</v>
      </c>
    </row>
    <row r="2235" spans="1:3" ht="15">
      <c r="A2235" s="113" t="s">
        <v>307</v>
      </c>
      <c r="B2235" s="112" t="s">
        <v>2373</v>
      </c>
      <c r="C2235" s="116" t="s">
        <v>1162</v>
      </c>
    </row>
    <row r="2236" spans="1:3" ht="15">
      <c r="A2236" s="113" t="s">
        <v>307</v>
      </c>
      <c r="B2236" s="112" t="s">
        <v>681</v>
      </c>
      <c r="C2236" s="116" t="s">
        <v>1162</v>
      </c>
    </row>
    <row r="2237" spans="1:3" ht="15">
      <c r="A2237" s="113" t="s">
        <v>307</v>
      </c>
      <c r="B2237" s="112" t="s">
        <v>4171</v>
      </c>
      <c r="C2237" s="116" t="s">
        <v>1162</v>
      </c>
    </row>
    <row r="2238" spans="1:3" ht="15">
      <c r="A2238" s="113" t="s">
        <v>307</v>
      </c>
      <c r="B2238" s="112" t="s">
        <v>4172</v>
      </c>
      <c r="C2238" s="116" t="s">
        <v>1162</v>
      </c>
    </row>
    <row r="2239" spans="1:3" ht="15">
      <c r="A2239" s="113" t="s">
        <v>307</v>
      </c>
      <c r="B2239" s="112" t="s">
        <v>467</v>
      </c>
      <c r="C2239" s="116" t="s">
        <v>1162</v>
      </c>
    </row>
    <row r="2240" spans="1:3" ht="15">
      <c r="A2240" s="113" t="s">
        <v>260</v>
      </c>
      <c r="B2240" s="112" t="s">
        <v>2374</v>
      </c>
      <c r="C2240" s="116" t="s">
        <v>1089</v>
      </c>
    </row>
    <row r="2241" spans="1:3" ht="15">
      <c r="A2241" s="113" t="s">
        <v>260</v>
      </c>
      <c r="B2241" s="112" t="s">
        <v>2373</v>
      </c>
      <c r="C2241" s="116" t="s">
        <v>1089</v>
      </c>
    </row>
    <row r="2242" spans="1:3" ht="15">
      <c r="A2242" s="113" t="s">
        <v>260</v>
      </c>
      <c r="B2242" s="112" t="s">
        <v>2645</v>
      </c>
      <c r="C2242" s="116" t="s">
        <v>1089</v>
      </c>
    </row>
    <row r="2243" spans="1:3" ht="15">
      <c r="A2243" s="113" t="s">
        <v>260</v>
      </c>
      <c r="B2243" s="112" t="s">
        <v>681</v>
      </c>
      <c r="C2243" s="116" t="s">
        <v>1089</v>
      </c>
    </row>
    <row r="2244" spans="1:3" ht="15">
      <c r="A2244" s="113" t="s">
        <v>260</v>
      </c>
      <c r="B2244" s="112" t="s">
        <v>4173</v>
      </c>
      <c r="C2244" s="116" t="s">
        <v>1089</v>
      </c>
    </row>
    <row r="2245" spans="1:3" ht="15">
      <c r="A2245" s="113" t="s">
        <v>260</v>
      </c>
      <c r="B2245" s="112" t="s">
        <v>4174</v>
      </c>
      <c r="C2245" s="116" t="s">
        <v>1089</v>
      </c>
    </row>
    <row r="2246" spans="1:3" ht="15">
      <c r="A2246" s="113" t="s">
        <v>260</v>
      </c>
      <c r="B2246" s="112" t="s">
        <v>4175</v>
      </c>
      <c r="C2246" s="116" t="s">
        <v>1089</v>
      </c>
    </row>
    <row r="2247" spans="1:3" ht="15">
      <c r="A2247" s="113" t="s">
        <v>260</v>
      </c>
      <c r="B2247" s="112" t="s">
        <v>4176</v>
      </c>
      <c r="C2247" s="116" t="s">
        <v>1089</v>
      </c>
    </row>
    <row r="2248" spans="1:3" ht="15">
      <c r="A2248" s="113" t="s">
        <v>260</v>
      </c>
      <c r="B2248" s="112" t="s">
        <v>4177</v>
      </c>
      <c r="C2248" s="116" t="s">
        <v>1089</v>
      </c>
    </row>
    <row r="2249" spans="1:3" ht="15">
      <c r="A2249" s="113" t="s">
        <v>260</v>
      </c>
      <c r="B2249" s="112" t="s">
        <v>2666</v>
      </c>
      <c r="C2249" s="116" t="s">
        <v>1089</v>
      </c>
    </row>
    <row r="2250" spans="1:3" ht="15">
      <c r="A2250" s="113" t="s">
        <v>260</v>
      </c>
      <c r="B2250" s="112" t="s">
        <v>2661</v>
      </c>
      <c r="C2250" s="116" t="s">
        <v>1089</v>
      </c>
    </row>
    <row r="2251" spans="1:3" ht="15">
      <c r="A2251" s="113" t="s">
        <v>260</v>
      </c>
      <c r="B2251" s="112" t="s">
        <v>4178</v>
      </c>
      <c r="C2251" s="116" t="s">
        <v>1089</v>
      </c>
    </row>
    <row r="2252" spans="1:3" ht="15">
      <c r="A2252" s="113" t="s">
        <v>260</v>
      </c>
      <c r="B2252" s="112" t="s">
        <v>2376</v>
      </c>
      <c r="C2252" s="116" t="s">
        <v>1089</v>
      </c>
    </row>
    <row r="2253" spans="1:3" ht="15">
      <c r="A2253" s="113" t="s">
        <v>260</v>
      </c>
      <c r="B2253" s="112" t="s">
        <v>4179</v>
      </c>
      <c r="C2253" s="116" t="s">
        <v>1089</v>
      </c>
    </row>
    <row r="2254" spans="1:3" ht="15">
      <c r="A2254" s="113" t="s">
        <v>260</v>
      </c>
      <c r="B2254" s="112" t="s">
        <v>288</v>
      </c>
      <c r="C2254" s="116" t="s">
        <v>1089</v>
      </c>
    </row>
    <row r="2255" spans="1:3" ht="15">
      <c r="A2255" s="113" t="s">
        <v>274</v>
      </c>
      <c r="B2255" s="112" t="s">
        <v>2663</v>
      </c>
      <c r="C2255" s="116" t="s">
        <v>1109</v>
      </c>
    </row>
    <row r="2256" spans="1:3" ht="15">
      <c r="A2256" s="113" t="s">
        <v>274</v>
      </c>
      <c r="B2256" s="112" t="s">
        <v>2829</v>
      </c>
      <c r="C2256" s="116" t="s">
        <v>1109</v>
      </c>
    </row>
    <row r="2257" spans="1:3" ht="15">
      <c r="A2257" s="113" t="s">
        <v>274</v>
      </c>
      <c r="B2257" s="112" t="s">
        <v>2671</v>
      </c>
      <c r="C2257" s="116" t="s">
        <v>1109</v>
      </c>
    </row>
    <row r="2258" spans="1:3" ht="15">
      <c r="A2258" s="113" t="s">
        <v>274</v>
      </c>
      <c r="B2258" s="112" t="s">
        <v>2688</v>
      </c>
      <c r="C2258" s="116" t="s">
        <v>1109</v>
      </c>
    </row>
    <row r="2259" spans="1:3" ht="15">
      <c r="A2259" s="113" t="s">
        <v>274</v>
      </c>
      <c r="B2259" s="112" t="s">
        <v>2376</v>
      </c>
      <c r="C2259" s="116" t="s">
        <v>1109</v>
      </c>
    </row>
    <row r="2260" spans="1:3" ht="15">
      <c r="A2260" s="113" t="s">
        <v>274</v>
      </c>
      <c r="B2260" s="112" t="s">
        <v>2374</v>
      </c>
      <c r="C2260" s="116" t="s">
        <v>1109</v>
      </c>
    </row>
    <row r="2261" spans="1:3" ht="15">
      <c r="A2261" s="113" t="s">
        <v>274</v>
      </c>
      <c r="B2261" s="112" t="s">
        <v>2645</v>
      </c>
      <c r="C2261" s="116" t="s">
        <v>1109</v>
      </c>
    </row>
    <row r="2262" spans="1:3" ht="15">
      <c r="A2262" s="113" t="s">
        <v>274</v>
      </c>
      <c r="B2262" s="112" t="s">
        <v>2373</v>
      </c>
      <c r="C2262" s="116" t="s">
        <v>1109</v>
      </c>
    </row>
    <row r="2263" spans="1:3" ht="15">
      <c r="A2263" s="113" t="s">
        <v>274</v>
      </c>
      <c r="B2263" s="112" t="s">
        <v>681</v>
      </c>
      <c r="C2263" s="116" t="s">
        <v>1109</v>
      </c>
    </row>
    <row r="2264" spans="1:3" ht="15">
      <c r="A2264" s="113" t="s">
        <v>274</v>
      </c>
      <c r="B2264" s="112" t="s">
        <v>2890</v>
      </c>
      <c r="C2264" s="116" t="s">
        <v>1109</v>
      </c>
    </row>
    <row r="2265" spans="1:3" ht="15">
      <c r="A2265" s="113" t="s">
        <v>274</v>
      </c>
      <c r="B2265" s="112" t="s">
        <v>3028</v>
      </c>
      <c r="C2265" s="116" t="s">
        <v>1109</v>
      </c>
    </row>
    <row r="2266" spans="1:3" ht="15">
      <c r="A2266" s="113" t="s">
        <v>274</v>
      </c>
      <c r="B2266" s="112" t="s">
        <v>2977</v>
      </c>
      <c r="C2266" s="116" t="s">
        <v>1109</v>
      </c>
    </row>
    <row r="2267" spans="1:3" ht="15">
      <c r="A2267" s="113" t="s">
        <v>274</v>
      </c>
      <c r="B2267" s="112" t="s">
        <v>2873</v>
      </c>
      <c r="C2267" s="116" t="s">
        <v>1109</v>
      </c>
    </row>
    <row r="2268" spans="1:3" ht="15">
      <c r="A2268" s="113" t="s">
        <v>274</v>
      </c>
      <c r="B2268" s="112" t="s">
        <v>2740</v>
      </c>
      <c r="C2268" s="116" t="s">
        <v>1109</v>
      </c>
    </row>
    <row r="2269" spans="1:3" ht="15">
      <c r="A2269" s="113" t="s">
        <v>274</v>
      </c>
      <c r="B2269" s="112" t="s">
        <v>2927</v>
      </c>
      <c r="C2269" s="116" t="s">
        <v>1109</v>
      </c>
    </row>
    <row r="2270" spans="1:3" ht="15">
      <c r="A2270" s="113" t="s">
        <v>274</v>
      </c>
      <c r="B2270" s="112" t="s">
        <v>2862</v>
      </c>
      <c r="C2270" s="116" t="s">
        <v>1109</v>
      </c>
    </row>
    <row r="2271" spans="1:3" ht="15">
      <c r="A2271" s="113" t="s">
        <v>274</v>
      </c>
      <c r="B2271" s="112" t="s">
        <v>2907</v>
      </c>
      <c r="C2271" s="116" t="s">
        <v>1109</v>
      </c>
    </row>
    <row r="2272" spans="1:3" ht="15">
      <c r="A2272" s="113" t="s">
        <v>274</v>
      </c>
      <c r="B2272" s="112" t="s">
        <v>338</v>
      </c>
      <c r="C2272" s="116" t="s">
        <v>1109</v>
      </c>
    </row>
    <row r="2273" spans="1:3" ht="15">
      <c r="A2273" s="113" t="s">
        <v>274</v>
      </c>
      <c r="B2273" s="112" t="s">
        <v>397</v>
      </c>
      <c r="C2273" s="116" t="s">
        <v>1109</v>
      </c>
    </row>
    <row r="2274" spans="1:3" ht="15">
      <c r="A2274" s="113" t="s">
        <v>271</v>
      </c>
      <c r="B2274" s="112" t="s">
        <v>2363</v>
      </c>
      <c r="C2274" s="116" t="s">
        <v>1105</v>
      </c>
    </row>
    <row r="2275" spans="1:3" ht="15">
      <c r="A2275" s="113" t="s">
        <v>271</v>
      </c>
      <c r="B2275" s="112" t="s">
        <v>2637</v>
      </c>
      <c r="C2275" s="116" t="s">
        <v>1105</v>
      </c>
    </row>
    <row r="2276" spans="1:3" ht="15">
      <c r="A2276" s="113" t="s">
        <v>271</v>
      </c>
      <c r="B2276" s="112" t="s">
        <v>2643</v>
      </c>
      <c r="C2276" s="116" t="s">
        <v>1105</v>
      </c>
    </row>
    <row r="2277" spans="1:3" ht="15">
      <c r="A2277" s="113" t="s">
        <v>271</v>
      </c>
      <c r="B2277" s="112" t="s">
        <v>2374</v>
      </c>
      <c r="C2277" s="116" t="s">
        <v>1105</v>
      </c>
    </row>
    <row r="2278" spans="1:3" ht="15">
      <c r="A2278" s="113" t="s">
        <v>271</v>
      </c>
      <c r="B2278" s="112" t="s">
        <v>2373</v>
      </c>
      <c r="C2278" s="116" t="s">
        <v>1105</v>
      </c>
    </row>
    <row r="2279" spans="1:3" ht="15">
      <c r="A2279" s="113" t="s">
        <v>271</v>
      </c>
      <c r="B2279" s="112" t="s">
        <v>681</v>
      </c>
      <c r="C2279" s="116" t="s">
        <v>1105</v>
      </c>
    </row>
    <row r="2280" spans="1:3" ht="15">
      <c r="A2280" s="113" t="s">
        <v>284</v>
      </c>
      <c r="B2280" s="112" t="s">
        <v>2374</v>
      </c>
      <c r="C2280" s="116" t="s">
        <v>1126</v>
      </c>
    </row>
    <row r="2281" spans="1:3" ht="15">
      <c r="A2281" s="113" t="s">
        <v>284</v>
      </c>
      <c r="B2281" s="112" t="s">
        <v>2373</v>
      </c>
      <c r="C2281" s="116" t="s">
        <v>1126</v>
      </c>
    </row>
    <row r="2282" spans="1:3" ht="15">
      <c r="A2282" s="113" t="s">
        <v>284</v>
      </c>
      <c r="B2282" s="112" t="s">
        <v>681</v>
      </c>
      <c r="C2282" s="116" t="s">
        <v>1126</v>
      </c>
    </row>
    <row r="2283" spans="1:3" ht="15">
      <c r="A2283" s="113" t="s">
        <v>284</v>
      </c>
      <c r="B2283" s="112" t="s">
        <v>2711</v>
      </c>
      <c r="C2283" s="116" t="s">
        <v>1126</v>
      </c>
    </row>
    <row r="2284" spans="1:3" ht="15">
      <c r="A2284" s="113" t="s">
        <v>284</v>
      </c>
      <c r="B2284" s="112" t="s">
        <v>2749</v>
      </c>
      <c r="C2284" s="116" t="s">
        <v>1126</v>
      </c>
    </row>
    <row r="2285" spans="1:3" ht="15">
      <c r="A2285" s="113" t="s">
        <v>284</v>
      </c>
      <c r="B2285" s="112" t="s">
        <v>411</v>
      </c>
      <c r="C2285" s="116" t="s">
        <v>1126</v>
      </c>
    </row>
    <row r="2286" spans="1:3" ht="15">
      <c r="A2286" s="113" t="s">
        <v>284</v>
      </c>
      <c r="B2286" s="112" t="s">
        <v>3343</v>
      </c>
      <c r="C2286" s="116" t="s">
        <v>1126</v>
      </c>
    </row>
    <row r="2287" spans="1:3" ht="15">
      <c r="A2287" s="113" t="s">
        <v>284</v>
      </c>
      <c r="B2287" s="112" t="s">
        <v>341</v>
      </c>
      <c r="C2287" s="116" t="s">
        <v>1126</v>
      </c>
    </row>
    <row r="2288" spans="1:3" ht="15">
      <c r="A2288" s="113" t="s">
        <v>300</v>
      </c>
      <c r="B2288" s="112" t="s">
        <v>682</v>
      </c>
      <c r="C2288" s="116" t="s">
        <v>1155</v>
      </c>
    </row>
    <row r="2289" spans="1:3" ht="15">
      <c r="A2289" s="113" t="s">
        <v>300</v>
      </c>
      <c r="B2289" s="112" t="s">
        <v>2374</v>
      </c>
      <c r="C2289" s="116" t="s">
        <v>1155</v>
      </c>
    </row>
    <row r="2290" spans="1:3" ht="15">
      <c r="A2290" s="113" t="s">
        <v>300</v>
      </c>
      <c r="B2290" s="112" t="s">
        <v>2373</v>
      </c>
      <c r="C2290" s="116" t="s">
        <v>1155</v>
      </c>
    </row>
    <row r="2291" spans="1:3" ht="15">
      <c r="A2291" s="113" t="s">
        <v>300</v>
      </c>
      <c r="B2291" s="112" t="s">
        <v>681</v>
      </c>
      <c r="C2291" s="116" t="s">
        <v>1155</v>
      </c>
    </row>
    <row r="2292" spans="1:3" ht="15">
      <c r="A2292" s="113" t="s">
        <v>274</v>
      </c>
      <c r="B2292" s="112" t="s">
        <v>4180</v>
      </c>
      <c r="C2292" s="116" t="s">
        <v>1110</v>
      </c>
    </row>
    <row r="2293" spans="1:3" ht="15">
      <c r="A2293" s="113" t="s">
        <v>274</v>
      </c>
      <c r="B2293" s="112" t="s">
        <v>4181</v>
      </c>
      <c r="C2293" s="116" t="s">
        <v>1110</v>
      </c>
    </row>
    <row r="2294" spans="1:3" ht="15">
      <c r="A2294" s="113" t="s">
        <v>274</v>
      </c>
      <c r="B2294" s="112">
        <v>7</v>
      </c>
      <c r="C2294" s="116" t="s">
        <v>1110</v>
      </c>
    </row>
    <row r="2295" spans="1:3" ht="15">
      <c r="A2295" s="113" t="s">
        <v>274</v>
      </c>
      <c r="B2295" s="112" t="s">
        <v>2928</v>
      </c>
      <c r="C2295" s="116" t="s">
        <v>1110</v>
      </c>
    </row>
    <row r="2296" spans="1:3" ht="15">
      <c r="A2296" s="113" t="s">
        <v>274</v>
      </c>
      <c r="B2296" s="112" t="s">
        <v>2698</v>
      </c>
      <c r="C2296" s="116" t="s">
        <v>1110</v>
      </c>
    </row>
    <row r="2297" spans="1:3" ht="15">
      <c r="A2297" s="113" t="s">
        <v>274</v>
      </c>
      <c r="B2297" s="112" t="s">
        <v>2374</v>
      </c>
      <c r="C2297" s="116" t="s">
        <v>1110</v>
      </c>
    </row>
    <row r="2298" spans="1:3" ht="15">
      <c r="A2298" s="113" t="s">
        <v>274</v>
      </c>
      <c r="B2298" s="112" t="s">
        <v>2645</v>
      </c>
      <c r="C2298" s="116" t="s">
        <v>1110</v>
      </c>
    </row>
    <row r="2299" spans="1:3" ht="15">
      <c r="A2299" s="113" t="s">
        <v>274</v>
      </c>
      <c r="B2299" s="112" t="s">
        <v>2373</v>
      </c>
      <c r="C2299" s="116" t="s">
        <v>1110</v>
      </c>
    </row>
    <row r="2300" spans="1:3" ht="15">
      <c r="A2300" s="113" t="s">
        <v>274</v>
      </c>
      <c r="B2300" s="112" t="s">
        <v>2376</v>
      </c>
      <c r="C2300" s="116" t="s">
        <v>1110</v>
      </c>
    </row>
    <row r="2301" spans="1:3" ht="15">
      <c r="A2301" s="113" t="s">
        <v>274</v>
      </c>
      <c r="B2301" s="112" t="s">
        <v>2671</v>
      </c>
      <c r="C2301" s="116" t="s">
        <v>1110</v>
      </c>
    </row>
    <row r="2302" spans="1:3" ht="15">
      <c r="A2302" s="113" t="s">
        <v>274</v>
      </c>
      <c r="B2302" s="112" t="s">
        <v>2688</v>
      </c>
      <c r="C2302" s="116" t="s">
        <v>1110</v>
      </c>
    </row>
    <row r="2303" spans="1:3" ht="15">
      <c r="A2303" s="113" t="s">
        <v>274</v>
      </c>
      <c r="B2303" s="112" t="s">
        <v>681</v>
      </c>
      <c r="C2303" s="116" t="s">
        <v>1110</v>
      </c>
    </row>
    <row r="2304" spans="1:3" ht="15">
      <c r="A2304" s="113" t="s">
        <v>274</v>
      </c>
      <c r="B2304" s="112" t="s">
        <v>2701</v>
      </c>
      <c r="C2304" s="116" t="s">
        <v>1110</v>
      </c>
    </row>
    <row r="2305" spans="1:3" ht="15">
      <c r="A2305" s="113" t="s">
        <v>274</v>
      </c>
      <c r="B2305" s="112" t="s">
        <v>4182</v>
      </c>
      <c r="C2305" s="116" t="s">
        <v>1110</v>
      </c>
    </row>
    <row r="2306" spans="1:3" ht="15">
      <c r="A2306" s="113" t="s">
        <v>274</v>
      </c>
      <c r="B2306" s="112" t="s">
        <v>2898</v>
      </c>
      <c r="C2306" s="116" t="s">
        <v>1110</v>
      </c>
    </row>
    <row r="2307" spans="1:3" ht="15">
      <c r="A2307" s="113" t="s">
        <v>274</v>
      </c>
      <c r="B2307" s="112" t="s">
        <v>4183</v>
      </c>
      <c r="C2307" s="116" t="s">
        <v>1110</v>
      </c>
    </row>
    <row r="2308" spans="1:3" ht="15">
      <c r="A2308" s="113" t="s">
        <v>274</v>
      </c>
      <c r="B2308" s="112" t="s">
        <v>2878</v>
      </c>
      <c r="C2308" s="116" t="s">
        <v>1110</v>
      </c>
    </row>
    <row r="2309" spans="1:3" ht="15">
      <c r="A2309" s="113" t="s">
        <v>274</v>
      </c>
      <c r="B2309" s="112" t="s">
        <v>2914</v>
      </c>
      <c r="C2309" s="116" t="s">
        <v>1110</v>
      </c>
    </row>
    <row r="2310" spans="1:3" ht="15">
      <c r="A2310" s="113" t="s">
        <v>274</v>
      </c>
      <c r="B2310" s="112" t="s">
        <v>2931</v>
      </c>
      <c r="C2310" s="116" t="s">
        <v>1110</v>
      </c>
    </row>
    <row r="2311" spans="1:3" ht="15">
      <c r="A2311" s="113" t="s">
        <v>274</v>
      </c>
      <c r="B2311" s="112" t="s">
        <v>4184</v>
      </c>
      <c r="C2311" s="116" t="s">
        <v>1110</v>
      </c>
    </row>
    <row r="2312" spans="1:3" ht="15">
      <c r="A2312" s="113" t="s">
        <v>274</v>
      </c>
      <c r="B2312" s="112" t="s">
        <v>288</v>
      </c>
      <c r="C2312" s="116" t="s">
        <v>1110</v>
      </c>
    </row>
    <row r="2313" spans="1:3" ht="15">
      <c r="A2313" s="113" t="s">
        <v>274</v>
      </c>
      <c r="B2313" s="112" t="s">
        <v>3345</v>
      </c>
      <c r="C2313" s="116" t="s">
        <v>1110</v>
      </c>
    </row>
    <row r="2314" spans="1:3" ht="15">
      <c r="A2314" s="113" t="s">
        <v>259</v>
      </c>
      <c r="B2314" s="112" t="s">
        <v>2374</v>
      </c>
      <c r="C2314" s="116" t="s">
        <v>1086</v>
      </c>
    </row>
    <row r="2315" spans="1:3" ht="15">
      <c r="A2315" s="113" t="s">
        <v>259</v>
      </c>
      <c r="B2315" s="112" t="s">
        <v>2373</v>
      </c>
      <c r="C2315" s="116" t="s">
        <v>1086</v>
      </c>
    </row>
    <row r="2316" spans="1:3" ht="15">
      <c r="A2316" s="113" t="s">
        <v>259</v>
      </c>
      <c r="B2316" s="112" t="s">
        <v>681</v>
      </c>
      <c r="C2316" s="116" t="s">
        <v>1086</v>
      </c>
    </row>
    <row r="2317" spans="1:3" ht="15">
      <c r="A2317" s="113" t="s">
        <v>226</v>
      </c>
      <c r="B2317" s="112" t="s">
        <v>2374</v>
      </c>
      <c r="C2317" s="116" t="s">
        <v>1029</v>
      </c>
    </row>
    <row r="2318" spans="1:3" ht="15">
      <c r="A2318" s="113" t="s">
        <v>226</v>
      </c>
      <c r="B2318" s="112" t="s">
        <v>2373</v>
      </c>
      <c r="C2318" s="116" t="s">
        <v>1029</v>
      </c>
    </row>
    <row r="2319" spans="1:3" ht="15">
      <c r="A2319" s="113" t="s">
        <v>226</v>
      </c>
      <c r="B2319" s="112" t="s">
        <v>2380</v>
      </c>
      <c r="C2319" s="116" t="s">
        <v>1029</v>
      </c>
    </row>
    <row r="2320" spans="1:3" ht="15">
      <c r="A2320" s="113" t="s">
        <v>226</v>
      </c>
      <c r="B2320" s="112" t="s">
        <v>681</v>
      </c>
      <c r="C2320" s="116" t="s">
        <v>1029</v>
      </c>
    </row>
    <row r="2321" spans="1:3" ht="15">
      <c r="A2321" s="113" t="s">
        <v>226</v>
      </c>
      <c r="B2321" s="112" t="s">
        <v>328</v>
      </c>
      <c r="C2321" s="116" t="s">
        <v>1029</v>
      </c>
    </row>
    <row r="2322" spans="1:3" ht="15">
      <c r="A2322" s="113" t="s">
        <v>240</v>
      </c>
      <c r="B2322" s="112" t="s">
        <v>682</v>
      </c>
      <c r="C2322" s="116" t="s">
        <v>1052</v>
      </c>
    </row>
    <row r="2323" spans="1:3" ht="15">
      <c r="A2323" s="113" t="s">
        <v>240</v>
      </c>
      <c r="B2323" s="112" t="s">
        <v>2833</v>
      </c>
      <c r="C2323" s="116" t="s">
        <v>1052</v>
      </c>
    </row>
    <row r="2324" spans="1:3" ht="15">
      <c r="A2324" s="113" t="s">
        <v>240</v>
      </c>
      <c r="B2324" s="112" t="s">
        <v>318</v>
      </c>
      <c r="C2324" s="116" t="s">
        <v>1052</v>
      </c>
    </row>
    <row r="2325" spans="1:3" ht="15">
      <c r="A2325" s="113" t="s">
        <v>290</v>
      </c>
      <c r="B2325" s="112" t="s">
        <v>2367</v>
      </c>
      <c r="C2325" s="116" t="s">
        <v>1143</v>
      </c>
    </row>
    <row r="2326" spans="1:3" ht="15">
      <c r="A2326" s="113" t="s">
        <v>290</v>
      </c>
      <c r="B2326" s="112" t="s">
        <v>2374</v>
      </c>
      <c r="C2326" s="116" t="s">
        <v>1143</v>
      </c>
    </row>
    <row r="2327" spans="1:3" ht="15">
      <c r="A2327" s="113" t="s">
        <v>290</v>
      </c>
      <c r="B2327" s="112" t="s">
        <v>2373</v>
      </c>
      <c r="C2327" s="116" t="s">
        <v>1143</v>
      </c>
    </row>
    <row r="2328" spans="1:3" ht="15">
      <c r="A2328" s="113" t="s">
        <v>290</v>
      </c>
      <c r="B2328" s="112" t="s">
        <v>681</v>
      </c>
      <c r="C2328" s="116" t="s">
        <v>1143</v>
      </c>
    </row>
    <row r="2329" spans="1:3" ht="15">
      <c r="A2329" s="113" t="s">
        <v>290</v>
      </c>
      <c r="B2329" s="112" t="s">
        <v>455</v>
      </c>
      <c r="C2329" s="116" t="s">
        <v>1143</v>
      </c>
    </row>
    <row r="2330" spans="1:3" ht="15">
      <c r="A2330" s="113" t="s">
        <v>290</v>
      </c>
      <c r="B2330" s="112" t="s">
        <v>2397</v>
      </c>
      <c r="C2330" s="116" t="s">
        <v>1143</v>
      </c>
    </row>
    <row r="2331" spans="1:3" ht="15">
      <c r="A2331" s="113" t="s">
        <v>290</v>
      </c>
      <c r="B2331" s="112" t="s">
        <v>456</v>
      </c>
      <c r="C2331" s="116" t="s">
        <v>1143</v>
      </c>
    </row>
    <row r="2332" spans="1:3" ht="15">
      <c r="A2332" s="113" t="s">
        <v>290</v>
      </c>
      <c r="B2332" s="112" t="s">
        <v>457</v>
      </c>
      <c r="C2332" s="116" t="s">
        <v>1143</v>
      </c>
    </row>
    <row r="2333" spans="1:3" ht="15">
      <c r="A2333" s="113" t="s">
        <v>290</v>
      </c>
      <c r="B2333" s="112" t="s">
        <v>3339</v>
      </c>
      <c r="C2333" s="116" t="s">
        <v>1143</v>
      </c>
    </row>
    <row r="2334" spans="1:3" ht="15">
      <c r="A2334" s="113" t="s">
        <v>290</v>
      </c>
      <c r="B2334" s="112" t="s">
        <v>3338</v>
      </c>
      <c r="C2334" s="116" t="s">
        <v>1143</v>
      </c>
    </row>
    <row r="2335" spans="1:3" ht="15">
      <c r="A2335" s="113" t="s">
        <v>290</v>
      </c>
      <c r="B2335" s="112" t="s">
        <v>458</v>
      </c>
      <c r="C2335" s="116" t="s">
        <v>1143</v>
      </c>
    </row>
    <row r="2336" spans="1:3" ht="15">
      <c r="A2336" s="113" t="s">
        <v>290</v>
      </c>
      <c r="B2336" s="112" t="s">
        <v>459</v>
      </c>
      <c r="C2336" s="116" t="s">
        <v>1143</v>
      </c>
    </row>
    <row r="2337" spans="1:3" ht="15">
      <c r="A2337" s="113" t="s">
        <v>290</v>
      </c>
      <c r="B2337" s="112" t="s">
        <v>460</v>
      </c>
      <c r="C2337" s="116" t="s">
        <v>1143</v>
      </c>
    </row>
    <row r="2338" spans="1:3" ht="15">
      <c r="A2338" s="113" t="s">
        <v>290</v>
      </c>
      <c r="B2338" s="112" t="s">
        <v>291</v>
      </c>
      <c r="C2338" s="116" t="s">
        <v>1143</v>
      </c>
    </row>
    <row r="2339" spans="1:3" ht="15">
      <c r="A2339" s="113" t="s">
        <v>290</v>
      </c>
      <c r="B2339" s="112" t="s">
        <v>461</v>
      </c>
      <c r="C2339" s="116" t="s">
        <v>1143</v>
      </c>
    </row>
    <row r="2340" spans="1:3" ht="15">
      <c r="A2340" s="113" t="s">
        <v>290</v>
      </c>
      <c r="B2340" s="112" t="s">
        <v>3336</v>
      </c>
      <c r="C2340" s="116" t="s">
        <v>1143</v>
      </c>
    </row>
    <row r="2341" spans="1:3" ht="15">
      <c r="A2341" s="113" t="s">
        <v>284</v>
      </c>
      <c r="B2341" s="112" t="s">
        <v>2374</v>
      </c>
      <c r="C2341" s="116" t="s">
        <v>1127</v>
      </c>
    </row>
    <row r="2342" spans="1:3" ht="15">
      <c r="A2342" s="113" t="s">
        <v>284</v>
      </c>
      <c r="B2342" s="112" t="s">
        <v>2373</v>
      </c>
      <c r="C2342" s="116" t="s">
        <v>1127</v>
      </c>
    </row>
    <row r="2343" spans="1:3" ht="15">
      <c r="A2343" s="113" t="s">
        <v>284</v>
      </c>
      <c r="B2343" s="112" t="s">
        <v>681</v>
      </c>
      <c r="C2343" s="116" t="s">
        <v>1127</v>
      </c>
    </row>
    <row r="2344" spans="1:3" ht="15">
      <c r="A2344" s="113" t="s">
        <v>284</v>
      </c>
      <c r="B2344" s="112" t="s">
        <v>4185</v>
      </c>
      <c r="C2344" s="116" t="s">
        <v>1127</v>
      </c>
    </row>
    <row r="2345" spans="1:3" ht="15">
      <c r="A2345" s="113" t="s">
        <v>284</v>
      </c>
      <c r="B2345" s="112" t="s">
        <v>2639</v>
      </c>
      <c r="C2345" s="116" t="s">
        <v>1127</v>
      </c>
    </row>
    <row r="2346" spans="1:3" ht="15">
      <c r="A2346" s="113" t="s">
        <v>284</v>
      </c>
      <c r="B2346" s="112" t="s">
        <v>2993</v>
      </c>
      <c r="C2346" s="116" t="s">
        <v>1127</v>
      </c>
    </row>
    <row r="2347" spans="1:3" ht="15">
      <c r="A2347" s="113" t="s">
        <v>284</v>
      </c>
      <c r="B2347" s="112" t="s">
        <v>4186</v>
      </c>
      <c r="C2347" s="116" t="s">
        <v>1127</v>
      </c>
    </row>
    <row r="2348" spans="1:3" ht="15">
      <c r="A2348" s="113" t="s">
        <v>284</v>
      </c>
      <c r="B2348" s="112" t="s">
        <v>412</v>
      </c>
      <c r="C2348" s="116" t="s">
        <v>1127</v>
      </c>
    </row>
    <row r="2349" spans="1:3" ht="15">
      <c r="A2349" s="113" t="s">
        <v>284</v>
      </c>
      <c r="B2349" s="112" t="s">
        <v>2907</v>
      </c>
      <c r="C2349" s="116" t="s">
        <v>1127</v>
      </c>
    </row>
    <row r="2350" spans="1:3" ht="15">
      <c r="A2350" s="113" t="s">
        <v>284</v>
      </c>
      <c r="B2350" s="112" t="s">
        <v>4187</v>
      </c>
      <c r="C2350" s="116" t="s">
        <v>1127</v>
      </c>
    </row>
    <row r="2351" spans="1:3" ht="15">
      <c r="A2351" s="113" t="s">
        <v>284</v>
      </c>
      <c r="B2351" s="112" t="s">
        <v>2693</v>
      </c>
      <c r="C2351" s="116" t="s">
        <v>1127</v>
      </c>
    </row>
    <row r="2352" spans="1:3" ht="15">
      <c r="A2352" s="113" t="s">
        <v>284</v>
      </c>
      <c r="B2352" s="112" t="s">
        <v>2796</v>
      </c>
      <c r="C2352" s="116" t="s">
        <v>1127</v>
      </c>
    </row>
    <row r="2353" spans="1:3" ht="15">
      <c r="A2353" s="113" t="s">
        <v>284</v>
      </c>
      <c r="B2353" s="112" t="s">
        <v>2773</v>
      </c>
      <c r="C2353" s="116" t="s">
        <v>1127</v>
      </c>
    </row>
    <row r="2354" spans="1:3" ht="15">
      <c r="A2354" s="113" t="s">
        <v>284</v>
      </c>
      <c r="B2354" s="112" t="s">
        <v>3000</v>
      </c>
      <c r="C2354" s="116" t="s">
        <v>1127</v>
      </c>
    </row>
    <row r="2355" spans="1:3" ht="15">
      <c r="A2355" s="113" t="s">
        <v>284</v>
      </c>
      <c r="B2355" s="112" t="s">
        <v>2816</v>
      </c>
      <c r="C2355" s="116" t="s">
        <v>1127</v>
      </c>
    </row>
    <row r="2356" spans="1:3" ht="15">
      <c r="A2356" s="113" t="s">
        <v>284</v>
      </c>
      <c r="B2356" s="112" t="s">
        <v>2379</v>
      </c>
      <c r="C2356" s="116" t="s">
        <v>1127</v>
      </c>
    </row>
    <row r="2357" spans="1:3" ht="15">
      <c r="A2357" s="113" t="s">
        <v>284</v>
      </c>
      <c r="B2357" s="112" t="s">
        <v>2677</v>
      </c>
      <c r="C2357" s="116" t="s">
        <v>1127</v>
      </c>
    </row>
    <row r="2358" spans="1:3" ht="15">
      <c r="A2358" s="113" t="s">
        <v>284</v>
      </c>
      <c r="B2358" s="112" t="s">
        <v>1493</v>
      </c>
      <c r="C2358" s="116" t="s">
        <v>1127</v>
      </c>
    </row>
    <row r="2359" spans="1:3" ht="15">
      <c r="A2359" s="113" t="s">
        <v>262</v>
      </c>
      <c r="B2359" s="112" t="s">
        <v>3274</v>
      </c>
      <c r="C2359" s="116" t="s">
        <v>1092</v>
      </c>
    </row>
    <row r="2360" spans="1:3" ht="15">
      <c r="A2360" s="113" t="s">
        <v>262</v>
      </c>
      <c r="B2360" s="112" t="s">
        <v>3273</v>
      </c>
      <c r="C2360" s="116" t="s">
        <v>1092</v>
      </c>
    </row>
    <row r="2361" spans="1:3" ht="15">
      <c r="A2361" s="113" t="s">
        <v>262</v>
      </c>
      <c r="B2361" s="112" t="s">
        <v>3272</v>
      </c>
      <c r="C2361" s="116" t="s">
        <v>1092</v>
      </c>
    </row>
    <row r="2362" spans="1:3" ht="15">
      <c r="A2362" s="113" t="s">
        <v>262</v>
      </c>
      <c r="B2362" s="112" t="s">
        <v>682</v>
      </c>
      <c r="C2362" s="116" t="s">
        <v>1092</v>
      </c>
    </row>
    <row r="2363" spans="1:3" ht="15">
      <c r="A2363" s="113" t="s">
        <v>262</v>
      </c>
      <c r="B2363" s="112" t="s">
        <v>4188</v>
      </c>
      <c r="C2363" s="116" t="s">
        <v>1092</v>
      </c>
    </row>
    <row r="2364" spans="1:3" ht="15">
      <c r="A2364" s="113" t="s">
        <v>262</v>
      </c>
      <c r="B2364" s="112" t="s">
        <v>2741</v>
      </c>
      <c r="C2364" s="116" t="s">
        <v>1092</v>
      </c>
    </row>
    <row r="2365" spans="1:3" ht="15">
      <c r="A2365" s="113" t="s">
        <v>262</v>
      </c>
      <c r="B2365" s="112" t="s">
        <v>2651</v>
      </c>
      <c r="C2365" s="116" t="s">
        <v>1092</v>
      </c>
    </row>
    <row r="2366" spans="1:3" ht="15">
      <c r="A2366" s="113" t="s">
        <v>262</v>
      </c>
      <c r="B2366" s="112" t="s">
        <v>4189</v>
      </c>
      <c r="C2366" s="116" t="s">
        <v>1092</v>
      </c>
    </row>
    <row r="2367" spans="1:3" ht="15">
      <c r="A2367" s="113" t="s">
        <v>262</v>
      </c>
      <c r="B2367" s="112">
        <v>2024</v>
      </c>
      <c r="C2367" s="116" t="s">
        <v>1092</v>
      </c>
    </row>
    <row r="2368" spans="1:3" ht="15">
      <c r="A2368" s="113" t="s">
        <v>262</v>
      </c>
      <c r="B2368" s="112" t="s">
        <v>2877</v>
      </c>
      <c r="C2368" s="116" t="s">
        <v>1092</v>
      </c>
    </row>
    <row r="2369" spans="1:3" ht="15">
      <c r="A2369" s="113" t="s">
        <v>262</v>
      </c>
      <c r="B2369" s="112" t="s">
        <v>2376</v>
      </c>
      <c r="C2369" s="116" t="s">
        <v>1092</v>
      </c>
    </row>
    <row r="2370" spans="1:3" ht="15">
      <c r="A2370" s="113" t="s">
        <v>262</v>
      </c>
      <c r="B2370" s="112" t="s">
        <v>2751</v>
      </c>
      <c r="C2370" s="116" t="s">
        <v>1092</v>
      </c>
    </row>
    <row r="2371" spans="1:3" ht="15">
      <c r="A2371" s="113" t="s">
        <v>262</v>
      </c>
      <c r="B2371" s="112" t="s">
        <v>4190</v>
      </c>
      <c r="C2371" s="116" t="s">
        <v>1092</v>
      </c>
    </row>
    <row r="2372" spans="1:3" ht="15">
      <c r="A2372" s="113" t="s">
        <v>262</v>
      </c>
      <c r="B2372" s="112" t="s">
        <v>2641</v>
      </c>
      <c r="C2372" s="116" t="s">
        <v>1092</v>
      </c>
    </row>
    <row r="2373" spans="1:3" ht="15">
      <c r="A2373" s="113" t="s">
        <v>262</v>
      </c>
      <c r="B2373" s="112">
        <v>0</v>
      </c>
      <c r="C2373" s="116" t="s">
        <v>1092</v>
      </c>
    </row>
    <row r="2374" spans="1:3" ht="15">
      <c r="A2374" s="113" t="s">
        <v>262</v>
      </c>
      <c r="B2374" s="112" t="s">
        <v>2380</v>
      </c>
      <c r="C2374" s="116" t="s">
        <v>1092</v>
      </c>
    </row>
    <row r="2375" spans="1:3" ht="15">
      <c r="A2375" s="113" t="s">
        <v>262</v>
      </c>
      <c r="B2375" s="112" t="s">
        <v>2715</v>
      </c>
      <c r="C2375" s="116" t="s">
        <v>1092</v>
      </c>
    </row>
    <row r="2376" spans="1:3" ht="15">
      <c r="A2376" s="113" t="s">
        <v>262</v>
      </c>
      <c r="B2376" s="112" t="s">
        <v>4191</v>
      </c>
      <c r="C2376" s="116" t="s">
        <v>1092</v>
      </c>
    </row>
    <row r="2377" spans="1:3" ht="15">
      <c r="A2377" s="113" t="s">
        <v>262</v>
      </c>
      <c r="B2377" s="112" t="s">
        <v>2658</v>
      </c>
      <c r="C2377" s="116" t="s">
        <v>1092</v>
      </c>
    </row>
    <row r="2378" spans="1:3" ht="15">
      <c r="A2378" s="113" t="s">
        <v>262</v>
      </c>
      <c r="B2378" s="112" t="s">
        <v>3022</v>
      </c>
      <c r="C2378" s="116" t="s">
        <v>1092</v>
      </c>
    </row>
    <row r="2379" spans="1:3" ht="15">
      <c r="A2379" s="113" t="s">
        <v>262</v>
      </c>
      <c r="B2379" s="112" t="s">
        <v>2917</v>
      </c>
      <c r="C2379" s="116" t="s">
        <v>1092</v>
      </c>
    </row>
    <row r="2380" spans="1:3" ht="15">
      <c r="A2380" s="113" t="s">
        <v>262</v>
      </c>
      <c r="B2380" s="112" t="s">
        <v>2676</v>
      </c>
      <c r="C2380" s="116" t="s">
        <v>1092</v>
      </c>
    </row>
    <row r="2381" spans="1:3" ht="15">
      <c r="A2381" s="113" t="s">
        <v>262</v>
      </c>
      <c r="B2381" s="112" t="s">
        <v>2661</v>
      </c>
      <c r="C2381" s="116" t="s">
        <v>1092</v>
      </c>
    </row>
    <row r="2382" spans="1:3" ht="15">
      <c r="A2382" s="113" t="s">
        <v>262</v>
      </c>
      <c r="B2382" s="112" t="s">
        <v>4192</v>
      </c>
      <c r="C2382" s="116" t="s">
        <v>1092</v>
      </c>
    </row>
    <row r="2383" spans="1:3" ht="15">
      <c r="A2383" s="113" t="s">
        <v>262</v>
      </c>
      <c r="B2383" s="112" t="s">
        <v>2726</v>
      </c>
      <c r="C2383" s="116" t="s">
        <v>1092</v>
      </c>
    </row>
    <row r="2384" spans="1:3" ht="15">
      <c r="A2384" s="113" t="s">
        <v>262</v>
      </c>
      <c r="B2384" s="112" t="s">
        <v>2801</v>
      </c>
      <c r="C2384" s="116" t="s">
        <v>1092</v>
      </c>
    </row>
    <row r="2385" spans="1:3" ht="15">
      <c r="A2385" s="113" t="s">
        <v>290</v>
      </c>
      <c r="B2385" s="112" t="s">
        <v>2370</v>
      </c>
      <c r="C2385" s="116" t="s">
        <v>1142</v>
      </c>
    </row>
    <row r="2386" spans="1:3" ht="15">
      <c r="A2386" s="113" t="s">
        <v>290</v>
      </c>
      <c r="B2386" s="112" t="s">
        <v>4193</v>
      </c>
      <c r="C2386" s="116" t="s">
        <v>1142</v>
      </c>
    </row>
    <row r="2387" spans="1:3" ht="15">
      <c r="A2387" s="113" t="s">
        <v>290</v>
      </c>
      <c r="B2387" s="112" t="s">
        <v>2747</v>
      </c>
      <c r="C2387" s="116" t="s">
        <v>1142</v>
      </c>
    </row>
    <row r="2388" spans="1:3" ht="15">
      <c r="A2388" s="113" t="s">
        <v>290</v>
      </c>
      <c r="B2388" s="112" t="s">
        <v>2377</v>
      </c>
      <c r="C2388" s="116" t="s">
        <v>1142</v>
      </c>
    </row>
    <row r="2389" spans="1:3" ht="15">
      <c r="A2389" s="113" t="s">
        <v>290</v>
      </c>
      <c r="B2389" s="112" t="s">
        <v>3014</v>
      </c>
      <c r="C2389" s="116" t="s">
        <v>1142</v>
      </c>
    </row>
    <row r="2390" spans="1:3" ht="15">
      <c r="A2390" s="113" t="s">
        <v>290</v>
      </c>
      <c r="B2390" s="112" t="s">
        <v>2700</v>
      </c>
      <c r="C2390" s="116" t="s">
        <v>1142</v>
      </c>
    </row>
    <row r="2391" spans="1:3" ht="15">
      <c r="A2391" s="113" t="s">
        <v>290</v>
      </c>
      <c r="B2391" s="112" t="s">
        <v>4194</v>
      </c>
      <c r="C2391" s="116" t="s">
        <v>1142</v>
      </c>
    </row>
    <row r="2392" spans="1:3" ht="15">
      <c r="A2392" s="113" t="s">
        <v>290</v>
      </c>
      <c r="B2392" s="112" t="s">
        <v>2724</v>
      </c>
      <c r="C2392" s="116" t="s">
        <v>1142</v>
      </c>
    </row>
    <row r="2393" spans="1:3" ht="15">
      <c r="A2393" s="113" t="s">
        <v>290</v>
      </c>
      <c r="B2393" s="112" t="s">
        <v>2639</v>
      </c>
      <c r="C2393" s="116" t="s">
        <v>1142</v>
      </c>
    </row>
    <row r="2394" spans="1:3" ht="15">
      <c r="A2394" s="113" t="s">
        <v>290</v>
      </c>
      <c r="B2394" s="112" t="s">
        <v>2654</v>
      </c>
      <c r="C2394" s="116" t="s">
        <v>1142</v>
      </c>
    </row>
    <row r="2395" spans="1:3" ht="15">
      <c r="A2395" s="113" t="s">
        <v>290</v>
      </c>
      <c r="B2395" s="112" t="s">
        <v>4195</v>
      </c>
      <c r="C2395" s="116" t="s">
        <v>1142</v>
      </c>
    </row>
    <row r="2396" spans="1:3" ht="15">
      <c r="A2396" s="113" t="s">
        <v>290</v>
      </c>
      <c r="B2396" s="112" t="s">
        <v>2374</v>
      </c>
      <c r="C2396" s="116" t="s">
        <v>1142</v>
      </c>
    </row>
    <row r="2397" spans="1:3" ht="15">
      <c r="A2397" s="113" t="s">
        <v>290</v>
      </c>
      <c r="B2397" s="112" t="s">
        <v>2373</v>
      </c>
      <c r="C2397" s="116" t="s">
        <v>1142</v>
      </c>
    </row>
    <row r="2398" spans="1:3" ht="15">
      <c r="A2398" s="113" t="s">
        <v>290</v>
      </c>
      <c r="B2398" s="112" t="s">
        <v>681</v>
      </c>
      <c r="C2398" s="116" t="s">
        <v>1142</v>
      </c>
    </row>
    <row r="2399" spans="1:3" ht="15">
      <c r="A2399" s="113" t="s">
        <v>290</v>
      </c>
      <c r="B2399" s="112" t="s">
        <v>426</v>
      </c>
      <c r="C2399" s="116" t="s">
        <v>1142</v>
      </c>
    </row>
    <row r="2400" spans="1:3" ht="15">
      <c r="A2400" s="113" t="s">
        <v>290</v>
      </c>
      <c r="B2400" s="112" t="s">
        <v>427</v>
      </c>
      <c r="C2400" s="116" t="s">
        <v>1142</v>
      </c>
    </row>
    <row r="2401" spans="1:3" ht="15">
      <c r="A2401" s="113" t="s">
        <v>290</v>
      </c>
      <c r="B2401" s="112" t="s">
        <v>4196</v>
      </c>
      <c r="C2401" s="116" t="s">
        <v>1142</v>
      </c>
    </row>
    <row r="2402" spans="1:3" ht="15">
      <c r="A2402" s="113" t="s">
        <v>290</v>
      </c>
      <c r="B2402" s="112" t="s">
        <v>428</v>
      </c>
      <c r="C2402" s="116" t="s">
        <v>1142</v>
      </c>
    </row>
    <row r="2403" spans="1:3" ht="15">
      <c r="A2403" s="113" t="s">
        <v>290</v>
      </c>
      <c r="B2403" s="112" t="s">
        <v>429</v>
      </c>
      <c r="C2403" s="116" t="s">
        <v>1142</v>
      </c>
    </row>
    <row r="2404" spans="1:3" ht="15">
      <c r="A2404" s="113" t="s">
        <v>290</v>
      </c>
      <c r="B2404" s="112" t="s">
        <v>430</v>
      </c>
      <c r="C2404" s="116" t="s">
        <v>1142</v>
      </c>
    </row>
    <row r="2405" spans="1:3" ht="15">
      <c r="A2405" s="113" t="s">
        <v>290</v>
      </c>
      <c r="B2405" s="112" t="s">
        <v>431</v>
      </c>
      <c r="C2405" s="116" t="s">
        <v>1142</v>
      </c>
    </row>
    <row r="2406" spans="1:3" ht="15">
      <c r="A2406" s="113" t="s">
        <v>290</v>
      </c>
      <c r="B2406" s="112" t="s">
        <v>432</v>
      </c>
      <c r="C2406" s="116" t="s">
        <v>1142</v>
      </c>
    </row>
    <row r="2407" spans="1:3" ht="15">
      <c r="A2407" s="113" t="s">
        <v>290</v>
      </c>
      <c r="B2407" s="112" t="s">
        <v>4197</v>
      </c>
      <c r="C2407" s="116" t="s">
        <v>1142</v>
      </c>
    </row>
    <row r="2408" spans="1:3" ht="15">
      <c r="A2408" s="113" t="s">
        <v>290</v>
      </c>
      <c r="B2408" s="112" t="s">
        <v>433</v>
      </c>
      <c r="C2408" s="116" t="s">
        <v>1142</v>
      </c>
    </row>
    <row r="2409" spans="1:3" ht="15">
      <c r="A2409" s="113" t="s">
        <v>290</v>
      </c>
      <c r="B2409" s="112" t="s">
        <v>4198</v>
      </c>
      <c r="C2409" s="116" t="s">
        <v>1142</v>
      </c>
    </row>
    <row r="2410" spans="1:3" ht="15">
      <c r="A2410" s="113" t="s">
        <v>290</v>
      </c>
      <c r="B2410" s="112" t="s">
        <v>4199</v>
      </c>
      <c r="C2410" s="116" t="s">
        <v>1142</v>
      </c>
    </row>
    <row r="2411" spans="1:3" ht="15">
      <c r="A2411" s="113" t="s">
        <v>290</v>
      </c>
      <c r="B2411" s="112" t="s">
        <v>4200</v>
      </c>
      <c r="C2411" s="116" t="s">
        <v>1142</v>
      </c>
    </row>
    <row r="2412" spans="1:3" ht="15">
      <c r="A2412" s="113" t="s">
        <v>290</v>
      </c>
      <c r="B2412" s="112" t="s">
        <v>434</v>
      </c>
      <c r="C2412" s="116" t="s">
        <v>1142</v>
      </c>
    </row>
    <row r="2413" spans="1:3" ht="15">
      <c r="A2413" s="113" t="s">
        <v>290</v>
      </c>
      <c r="B2413" s="112" t="s">
        <v>456</v>
      </c>
      <c r="C2413" s="116" t="s">
        <v>1142</v>
      </c>
    </row>
    <row r="2414" spans="1:3" ht="15">
      <c r="A2414" s="113" t="s">
        <v>290</v>
      </c>
      <c r="B2414" s="112" t="s">
        <v>4201</v>
      </c>
      <c r="C2414" s="116" t="s">
        <v>1142</v>
      </c>
    </row>
    <row r="2415" spans="1:3" ht="15">
      <c r="A2415" s="113" t="s">
        <v>290</v>
      </c>
      <c r="B2415" s="112" t="s">
        <v>435</v>
      </c>
      <c r="C2415" s="116" t="s">
        <v>1142</v>
      </c>
    </row>
    <row r="2416" spans="1:3" ht="15">
      <c r="A2416" s="113" t="s">
        <v>290</v>
      </c>
      <c r="B2416" s="112" t="s">
        <v>4202</v>
      </c>
      <c r="C2416" s="116" t="s">
        <v>1142</v>
      </c>
    </row>
    <row r="2417" spans="1:3" ht="15">
      <c r="A2417" s="113" t="s">
        <v>290</v>
      </c>
      <c r="B2417" s="112" t="s">
        <v>436</v>
      </c>
      <c r="C2417" s="116" t="s">
        <v>1142</v>
      </c>
    </row>
    <row r="2418" spans="1:3" ht="15">
      <c r="A2418" s="113" t="s">
        <v>290</v>
      </c>
      <c r="B2418" s="112" t="s">
        <v>4203</v>
      </c>
      <c r="C2418" s="116" t="s">
        <v>1142</v>
      </c>
    </row>
    <row r="2419" spans="1:3" ht="15">
      <c r="A2419" s="113" t="s">
        <v>290</v>
      </c>
      <c r="B2419" s="112" t="s">
        <v>437</v>
      </c>
      <c r="C2419" s="116" t="s">
        <v>1142</v>
      </c>
    </row>
    <row r="2420" spans="1:3" ht="15">
      <c r="A2420" s="113" t="s">
        <v>290</v>
      </c>
      <c r="B2420" s="112" t="s">
        <v>438</v>
      </c>
      <c r="C2420" s="116" t="s">
        <v>1142</v>
      </c>
    </row>
    <row r="2421" spans="1:3" ht="15">
      <c r="A2421" s="113" t="s">
        <v>290</v>
      </c>
      <c r="B2421" s="112" t="s">
        <v>439</v>
      </c>
      <c r="C2421" s="116" t="s">
        <v>1142</v>
      </c>
    </row>
    <row r="2422" spans="1:3" ht="15">
      <c r="A2422" s="113" t="s">
        <v>290</v>
      </c>
      <c r="B2422" s="112" t="s">
        <v>440</v>
      </c>
      <c r="C2422" s="116" t="s">
        <v>1142</v>
      </c>
    </row>
    <row r="2423" spans="1:3" ht="15">
      <c r="A2423" s="113" t="s">
        <v>290</v>
      </c>
      <c r="B2423" s="112" t="s">
        <v>441</v>
      </c>
      <c r="C2423" s="116" t="s">
        <v>1142</v>
      </c>
    </row>
    <row r="2424" spans="1:3" ht="15">
      <c r="A2424" s="113" t="s">
        <v>290</v>
      </c>
      <c r="B2424" s="112" t="s">
        <v>2397</v>
      </c>
      <c r="C2424" s="116" t="s">
        <v>1142</v>
      </c>
    </row>
    <row r="2425" spans="1:3" ht="15">
      <c r="A2425" s="113" t="s">
        <v>290</v>
      </c>
      <c r="B2425" s="112" t="s">
        <v>442</v>
      </c>
      <c r="C2425" s="116" t="s">
        <v>1142</v>
      </c>
    </row>
    <row r="2426" spans="1:3" ht="15">
      <c r="A2426" s="113" t="s">
        <v>290</v>
      </c>
      <c r="B2426" s="112" t="s">
        <v>4204</v>
      </c>
      <c r="C2426" s="116" t="s">
        <v>1142</v>
      </c>
    </row>
    <row r="2427" spans="1:3" ht="15">
      <c r="A2427" s="113" t="s">
        <v>290</v>
      </c>
      <c r="B2427" s="112" t="s">
        <v>443</v>
      </c>
      <c r="C2427" s="116" t="s">
        <v>1142</v>
      </c>
    </row>
    <row r="2428" spans="1:3" ht="15">
      <c r="A2428" s="113" t="s">
        <v>290</v>
      </c>
      <c r="B2428" s="112" t="s">
        <v>444</v>
      </c>
      <c r="C2428" s="116" t="s">
        <v>1142</v>
      </c>
    </row>
    <row r="2429" spans="1:3" ht="15">
      <c r="A2429" s="113" t="s">
        <v>290</v>
      </c>
      <c r="B2429" s="112" t="s">
        <v>4205</v>
      </c>
      <c r="C2429" s="116" t="s">
        <v>1142</v>
      </c>
    </row>
    <row r="2430" spans="1:3" ht="15">
      <c r="A2430" s="113" t="s">
        <v>290</v>
      </c>
      <c r="B2430" s="112" t="s">
        <v>4206</v>
      </c>
      <c r="C2430" s="116" t="s">
        <v>1142</v>
      </c>
    </row>
    <row r="2431" spans="1:3" ht="15">
      <c r="A2431" s="113" t="s">
        <v>290</v>
      </c>
      <c r="B2431" s="112" t="s">
        <v>4207</v>
      </c>
      <c r="C2431" s="116" t="s">
        <v>1142</v>
      </c>
    </row>
    <row r="2432" spans="1:3" ht="15">
      <c r="A2432" s="113" t="s">
        <v>290</v>
      </c>
      <c r="B2432" s="112" t="s">
        <v>445</v>
      </c>
      <c r="C2432" s="116" t="s">
        <v>1142</v>
      </c>
    </row>
    <row r="2433" spans="1:3" ht="15">
      <c r="A2433" s="113" t="s">
        <v>290</v>
      </c>
      <c r="B2433" s="112" t="s">
        <v>446</v>
      </c>
      <c r="C2433" s="116" t="s">
        <v>1142</v>
      </c>
    </row>
    <row r="2434" spans="1:3" ht="15">
      <c r="A2434" s="113" t="s">
        <v>290</v>
      </c>
      <c r="B2434" s="112" t="s">
        <v>447</v>
      </c>
      <c r="C2434" s="116" t="s">
        <v>1142</v>
      </c>
    </row>
    <row r="2435" spans="1:3" ht="15">
      <c r="A2435" s="113" t="s">
        <v>290</v>
      </c>
      <c r="B2435" s="112" t="s">
        <v>4208</v>
      </c>
      <c r="C2435" s="116" t="s">
        <v>1142</v>
      </c>
    </row>
    <row r="2436" spans="1:3" ht="15">
      <c r="A2436" s="113" t="s">
        <v>290</v>
      </c>
      <c r="B2436" s="112" t="s">
        <v>448</v>
      </c>
      <c r="C2436" s="116" t="s">
        <v>1142</v>
      </c>
    </row>
    <row r="2437" spans="1:3" ht="15">
      <c r="A2437" s="113" t="s">
        <v>290</v>
      </c>
      <c r="B2437" s="112" t="s">
        <v>449</v>
      </c>
      <c r="C2437" s="116" t="s">
        <v>1142</v>
      </c>
    </row>
    <row r="2438" spans="1:3" ht="15">
      <c r="A2438" s="113" t="s">
        <v>290</v>
      </c>
      <c r="B2438" s="112" t="s">
        <v>450</v>
      </c>
      <c r="C2438" s="116" t="s">
        <v>1142</v>
      </c>
    </row>
    <row r="2439" spans="1:3" ht="15">
      <c r="A2439" s="113" t="s">
        <v>290</v>
      </c>
      <c r="B2439" s="112" t="s">
        <v>451</v>
      </c>
      <c r="C2439" s="116" t="s">
        <v>1142</v>
      </c>
    </row>
    <row r="2440" spans="1:3" ht="15">
      <c r="A2440" s="113" t="s">
        <v>290</v>
      </c>
      <c r="B2440" s="112" t="s">
        <v>4209</v>
      </c>
      <c r="C2440" s="116" t="s">
        <v>1142</v>
      </c>
    </row>
    <row r="2441" spans="1:3" ht="15">
      <c r="A2441" s="113" t="s">
        <v>290</v>
      </c>
      <c r="B2441" s="112" t="s">
        <v>4210</v>
      </c>
      <c r="C2441" s="116" t="s">
        <v>1142</v>
      </c>
    </row>
    <row r="2442" spans="1:3" ht="15">
      <c r="A2442" s="113" t="s">
        <v>290</v>
      </c>
      <c r="B2442" s="112" t="s">
        <v>452</v>
      </c>
      <c r="C2442" s="116" t="s">
        <v>1142</v>
      </c>
    </row>
    <row r="2443" spans="1:3" ht="15">
      <c r="A2443" s="113" t="s">
        <v>290</v>
      </c>
      <c r="B2443" s="112" t="s">
        <v>4211</v>
      </c>
      <c r="C2443" s="116" t="s">
        <v>1142</v>
      </c>
    </row>
    <row r="2444" spans="1:3" ht="15">
      <c r="A2444" s="113" t="s">
        <v>290</v>
      </c>
      <c r="B2444" s="112" t="s">
        <v>453</v>
      </c>
      <c r="C2444" s="116" t="s">
        <v>1142</v>
      </c>
    </row>
    <row r="2445" spans="1:3" ht="15">
      <c r="A2445" s="113" t="s">
        <v>290</v>
      </c>
      <c r="B2445" s="112" t="s">
        <v>454</v>
      </c>
      <c r="C2445" s="116" t="s">
        <v>1142</v>
      </c>
    </row>
    <row r="2446" spans="1:3" ht="15">
      <c r="A2446" s="113" t="s">
        <v>290</v>
      </c>
      <c r="B2446" s="112" t="s">
        <v>4212</v>
      </c>
      <c r="C2446" s="116" t="s">
        <v>1142</v>
      </c>
    </row>
    <row r="2447" spans="1:3" ht="15">
      <c r="A2447" s="113" t="s">
        <v>290</v>
      </c>
      <c r="B2447" s="112" t="s">
        <v>4213</v>
      </c>
      <c r="C2447" s="116" t="s">
        <v>1142</v>
      </c>
    </row>
    <row r="2448" spans="1:3" ht="15">
      <c r="A2448" s="113" t="s">
        <v>290</v>
      </c>
      <c r="B2448" s="112" t="s">
        <v>3337</v>
      </c>
      <c r="C2448" s="116" t="s">
        <v>1142</v>
      </c>
    </row>
    <row r="2449" spans="1:3" ht="15">
      <c r="A2449" s="113" t="s">
        <v>282</v>
      </c>
      <c r="B2449" s="112" t="s">
        <v>682</v>
      </c>
      <c r="C2449" s="116" t="s">
        <v>1123</v>
      </c>
    </row>
    <row r="2450" spans="1:3" ht="15">
      <c r="A2450" s="113" t="s">
        <v>282</v>
      </c>
      <c r="B2450" s="112" t="s">
        <v>4214</v>
      </c>
      <c r="C2450" s="116" t="s">
        <v>1123</v>
      </c>
    </row>
    <row r="2451" spans="1:3" ht="15">
      <c r="A2451" s="113" t="s">
        <v>282</v>
      </c>
      <c r="B2451" s="112" t="s">
        <v>4215</v>
      </c>
      <c r="C2451" s="116" t="s">
        <v>1123</v>
      </c>
    </row>
    <row r="2452" spans="1:3" ht="15">
      <c r="A2452" s="113" t="s">
        <v>282</v>
      </c>
      <c r="B2452" s="112" t="s">
        <v>2378</v>
      </c>
      <c r="C2452" s="116" t="s">
        <v>1123</v>
      </c>
    </row>
    <row r="2453" spans="1:3" ht="15">
      <c r="A2453" s="113" t="s">
        <v>282</v>
      </c>
      <c r="B2453" s="112" t="s">
        <v>405</v>
      </c>
      <c r="C2453" s="116" t="s">
        <v>1123</v>
      </c>
    </row>
    <row r="2454" spans="1:3" ht="15">
      <c r="A2454" s="113" t="s">
        <v>282</v>
      </c>
      <c r="B2454" s="112" t="s">
        <v>406</v>
      </c>
      <c r="C2454" s="116" t="s">
        <v>1123</v>
      </c>
    </row>
    <row r="2455" spans="1:3" ht="15">
      <c r="A2455" s="113" t="s">
        <v>249</v>
      </c>
      <c r="B2455" s="112" t="s">
        <v>682</v>
      </c>
      <c r="C2455" s="116" t="s">
        <v>1068</v>
      </c>
    </row>
    <row r="2456" spans="1:3" ht="15">
      <c r="A2456" s="113" t="s">
        <v>249</v>
      </c>
      <c r="B2456" s="112" t="s">
        <v>4216</v>
      </c>
      <c r="C2456" s="116" t="s">
        <v>1068</v>
      </c>
    </row>
    <row r="2457" spans="1:3" ht="15">
      <c r="A2457" s="113" t="s">
        <v>249</v>
      </c>
      <c r="B2457" s="112" t="s">
        <v>2743</v>
      </c>
      <c r="C2457" s="116" t="s">
        <v>1068</v>
      </c>
    </row>
    <row r="2458" spans="1:3" ht="15">
      <c r="A2458" s="113" t="s">
        <v>249</v>
      </c>
      <c r="B2458" s="112" t="s">
        <v>4217</v>
      </c>
      <c r="C2458" s="116" t="s">
        <v>1068</v>
      </c>
    </row>
    <row r="2459" spans="1:3" ht="15">
      <c r="A2459" s="113" t="s">
        <v>249</v>
      </c>
      <c r="B2459" s="112" t="s">
        <v>4218</v>
      </c>
      <c r="C2459" s="116" t="s">
        <v>1068</v>
      </c>
    </row>
    <row r="2460" spans="1:3" ht="15">
      <c r="A2460" s="113" t="s">
        <v>249</v>
      </c>
      <c r="B2460" s="112" t="s">
        <v>2934</v>
      </c>
      <c r="C2460" s="116" t="s">
        <v>1068</v>
      </c>
    </row>
    <row r="2461" spans="1:3" ht="15">
      <c r="A2461" s="113" t="s">
        <v>249</v>
      </c>
      <c r="B2461" s="112" t="s">
        <v>4219</v>
      </c>
      <c r="C2461" s="116" t="s">
        <v>1068</v>
      </c>
    </row>
    <row r="2462" spans="1:3" ht="15">
      <c r="A2462" s="113" t="s">
        <v>249</v>
      </c>
      <c r="B2462" s="112" t="s">
        <v>2684</v>
      </c>
      <c r="C2462" s="116" t="s">
        <v>1068</v>
      </c>
    </row>
    <row r="2463" spans="1:3" ht="15">
      <c r="A2463" s="113" t="s">
        <v>249</v>
      </c>
      <c r="B2463" s="112" t="s">
        <v>2780</v>
      </c>
      <c r="C2463" s="116" t="s">
        <v>1068</v>
      </c>
    </row>
    <row r="2464" spans="1:3" ht="15">
      <c r="A2464" s="113" t="s">
        <v>249</v>
      </c>
      <c r="B2464" s="112" t="s">
        <v>4220</v>
      </c>
      <c r="C2464" s="116" t="s">
        <v>1068</v>
      </c>
    </row>
    <row r="2465" spans="1:3" ht="15">
      <c r="A2465" s="113" t="s">
        <v>249</v>
      </c>
      <c r="B2465" s="112" t="s">
        <v>345</v>
      </c>
      <c r="C2465" s="116" t="s">
        <v>1068</v>
      </c>
    </row>
    <row r="2466" spans="1:3" ht="15">
      <c r="A2466" s="113" t="s">
        <v>259</v>
      </c>
      <c r="B2466" s="112" t="s">
        <v>2374</v>
      </c>
      <c r="C2466" s="116" t="s">
        <v>1084</v>
      </c>
    </row>
    <row r="2467" spans="1:3" ht="15">
      <c r="A2467" s="113" t="s">
        <v>259</v>
      </c>
      <c r="B2467" s="112" t="s">
        <v>2373</v>
      </c>
      <c r="C2467" s="116" t="s">
        <v>1084</v>
      </c>
    </row>
    <row r="2468" spans="1:3" ht="15">
      <c r="A2468" s="113" t="s">
        <v>259</v>
      </c>
      <c r="B2468" s="112" t="s">
        <v>681</v>
      </c>
      <c r="C2468" s="116" t="s">
        <v>1084</v>
      </c>
    </row>
    <row r="2469" spans="1:3" ht="15">
      <c r="A2469" s="113" t="s">
        <v>259</v>
      </c>
      <c r="B2469" s="112" t="s">
        <v>378</v>
      </c>
      <c r="C2469" s="116" t="s">
        <v>1084</v>
      </c>
    </row>
    <row r="2470" spans="1:3" ht="15">
      <c r="A2470" s="113" t="s">
        <v>259</v>
      </c>
      <c r="B2470" s="112" t="s">
        <v>3344</v>
      </c>
      <c r="C2470" s="116" t="s">
        <v>1084</v>
      </c>
    </row>
    <row r="2471" spans="1:3" ht="15">
      <c r="A2471" s="113" t="s">
        <v>250</v>
      </c>
      <c r="B2471" s="112" t="s">
        <v>4221</v>
      </c>
      <c r="C2471" s="116" t="s">
        <v>1070</v>
      </c>
    </row>
    <row r="2472" spans="1:3" ht="15">
      <c r="A2472" s="113" t="s">
        <v>250</v>
      </c>
      <c r="B2472" s="112" t="s">
        <v>4222</v>
      </c>
      <c r="C2472" s="116" t="s">
        <v>1070</v>
      </c>
    </row>
    <row r="2473" spans="1:3" ht="15">
      <c r="A2473" s="113" t="s">
        <v>250</v>
      </c>
      <c r="B2473" s="112" t="s">
        <v>2654</v>
      </c>
      <c r="C2473" s="116" t="s">
        <v>1070</v>
      </c>
    </row>
    <row r="2474" spans="1:3" ht="15">
      <c r="A2474" s="113" t="s">
        <v>250</v>
      </c>
      <c r="B2474" s="112" t="s">
        <v>2378</v>
      </c>
      <c r="C2474" s="116" t="s">
        <v>1070</v>
      </c>
    </row>
    <row r="2475" spans="1:3" ht="15">
      <c r="A2475" s="113" t="s">
        <v>250</v>
      </c>
      <c r="B2475" s="112" t="s">
        <v>2729</v>
      </c>
      <c r="C2475" s="116" t="s">
        <v>1070</v>
      </c>
    </row>
    <row r="2476" spans="1:3" ht="15">
      <c r="A2476" s="113" t="s">
        <v>250</v>
      </c>
      <c r="B2476" s="112" t="s">
        <v>2638</v>
      </c>
      <c r="C2476" s="116" t="s">
        <v>1070</v>
      </c>
    </row>
    <row r="2477" spans="1:3" ht="15">
      <c r="A2477" s="113" t="s">
        <v>250</v>
      </c>
      <c r="B2477" s="112" t="s">
        <v>2760</v>
      </c>
      <c r="C2477" s="116" t="s">
        <v>1070</v>
      </c>
    </row>
    <row r="2478" spans="1:3" ht="15">
      <c r="A2478" s="113" t="s">
        <v>250</v>
      </c>
      <c r="B2478" s="112" t="s">
        <v>4223</v>
      </c>
      <c r="C2478" s="116" t="s">
        <v>1070</v>
      </c>
    </row>
    <row r="2479" spans="1:3" ht="15">
      <c r="A2479" s="113" t="s">
        <v>250</v>
      </c>
      <c r="B2479" s="112" t="s">
        <v>2670</v>
      </c>
      <c r="C2479" s="116" t="s">
        <v>1070</v>
      </c>
    </row>
    <row r="2480" spans="1:3" ht="15">
      <c r="A2480" s="113" t="s">
        <v>250</v>
      </c>
      <c r="B2480" s="112" t="s">
        <v>2374</v>
      </c>
      <c r="C2480" s="116" t="s">
        <v>1070</v>
      </c>
    </row>
    <row r="2481" spans="1:3" ht="15">
      <c r="A2481" s="113" t="s">
        <v>250</v>
      </c>
      <c r="B2481" s="112" t="s">
        <v>2373</v>
      </c>
      <c r="C2481" s="116" t="s">
        <v>1070</v>
      </c>
    </row>
    <row r="2482" spans="1:3" ht="15">
      <c r="A2482" s="113" t="s">
        <v>250</v>
      </c>
      <c r="B2482" s="112" t="s">
        <v>681</v>
      </c>
      <c r="C2482" s="116" t="s">
        <v>1070</v>
      </c>
    </row>
    <row r="2483" spans="1:3" ht="15">
      <c r="A2483" s="113" t="s">
        <v>250</v>
      </c>
      <c r="B2483" s="112" t="s">
        <v>362</v>
      </c>
      <c r="C2483" s="116" t="s">
        <v>1070</v>
      </c>
    </row>
    <row r="2484" spans="1:3" ht="15">
      <c r="A2484" s="113" t="s">
        <v>329</v>
      </c>
      <c r="B2484" s="112" t="s">
        <v>682</v>
      </c>
      <c r="C2484" s="116" t="s">
        <v>1199</v>
      </c>
    </row>
    <row r="2485" spans="1:3" ht="15">
      <c r="A2485" s="113" t="s">
        <v>329</v>
      </c>
      <c r="B2485" s="112" t="s">
        <v>2689</v>
      </c>
      <c r="C2485" s="116" t="s">
        <v>1199</v>
      </c>
    </row>
    <row r="2486" spans="1:3" ht="15">
      <c r="A2486" s="113" t="s">
        <v>329</v>
      </c>
      <c r="B2486" s="112" t="s">
        <v>2381</v>
      </c>
      <c r="C2486" s="116" t="s">
        <v>1199</v>
      </c>
    </row>
    <row r="2487" spans="1:3" ht="15">
      <c r="A2487" s="113" t="s">
        <v>329</v>
      </c>
      <c r="B2487" s="112" t="s">
        <v>2657</v>
      </c>
      <c r="C2487" s="116" t="s">
        <v>1199</v>
      </c>
    </row>
    <row r="2488" spans="1:3" ht="15">
      <c r="A2488" s="113" t="s">
        <v>329</v>
      </c>
      <c r="B2488" s="112" t="s">
        <v>2837</v>
      </c>
      <c r="C2488" s="116" t="s">
        <v>1199</v>
      </c>
    </row>
    <row r="2489" spans="1:3" ht="15">
      <c r="A2489" s="113" t="s">
        <v>329</v>
      </c>
      <c r="B2489" s="112" t="s">
        <v>2984</v>
      </c>
      <c r="C2489" s="116" t="s">
        <v>1199</v>
      </c>
    </row>
    <row r="2490" spans="1:3" ht="15">
      <c r="A2490" s="113" t="s">
        <v>303</v>
      </c>
      <c r="B2490" s="112" t="s">
        <v>2374</v>
      </c>
      <c r="C2490" s="116" t="s">
        <v>1158</v>
      </c>
    </row>
    <row r="2491" spans="1:3" ht="15">
      <c r="A2491" s="113" t="s">
        <v>303</v>
      </c>
      <c r="B2491" s="112" t="s">
        <v>2373</v>
      </c>
      <c r="C2491" s="116" t="s">
        <v>1158</v>
      </c>
    </row>
    <row r="2492" spans="1:3" ht="15">
      <c r="A2492" s="113" t="s">
        <v>303</v>
      </c>
      <c r="B2492" s="112" t="s">
        <v>681</v>
      </c>
      <c r="C2492" s="116" t="s">
        <v>1158</v>
      </c>
    </row>
    <row r="2493" spans="1:3" ht="15">
      <c r="A2493" s="113" t="s">
        <v>342</v>
      </c>
      <c r="B2493" s="112" t="s">
        <v>4224</v>
      </c>
      <c r="C2493" s="116" t="s">
        <v>1226</v>
      </c>
    </row>
    <row r="2494" spans="1:3" ht="15">
      <c r="A2494" s="113" t="s">
        <v>342</v>
      </c>
      <c r="B2494" s="112" t="s">
        <v>2744</v>
      </c>
      <c r="C2494" s="116" t="s">
        <v>1226</v>
      </c>
    </row>
    <row r="2495" spans="1:3" ht="15">
      <c r="A2495" s="113" t="s">
        <v>342</v>
      </c>
      <c r="B2495" s="112" t="s">
        <v>4225</v>
      </c>
      <c r="C2495" s="116" t="s">
        <v>1226</v>
      </c>
    </row>
    <row r="2496" spans="1:3" ht="15">
      <c r="A2496" s="113" t="s">
        <v>342</v>
      </c>
      <c r="B2496" s="112" t="s">
        <v>2717</v>
      </c>
      <c r="C2496" s="116" t="s">
        <v>1226</v>
      </c>
    </row>
    <row r="2497" spans="1:3" ht="15">
      <c r="A2497" s="113" t="s">
        <v>342</v>
      </c>
      <c r="B2497" s="112" t="s">
        <v>4226</v>
      </c>
      <c r="C2497" s="116" t="s">
        <v>1226</v>
      </c>
    </row>
    <row r="2498" spans="1:3" ht="15">
      <c r="A2498" s="113" t="s">
        <v>342</v>
      </c>
      <c r="B2498" s="112" t="s">
        <v>2843</v>
      </c>
      <c r="C2498" s="116" t="s">
        <v>1226</v>
      </c>
    </row>
    <row r="2499" spans="1:3" ht="15">
      <c r="A2499" s="113" t="s">
        <v>342</v>
      </c>
      <c r="B2499" s="112" t="s">
        <v>2697</v>
      </c>
      <c r="C2499" s="116" t="s">
        <v>1226</v>
      </c>
    </row>
    <row r="2500" spans="1:3" ht="15">
      <c r="A2500" s="113" t="s">
        <v>342</v>
      </c>
      <c r="B2500" s="112" t="s">
        <v>4227</v>
      </c>
      <c r="C2500" s="116" t="s">
        <v>1226</v>
      </c>
    </row>
    <row r="2501" spans="1:3" ht="15">
      <c r="A2501" s="113" t="s">
        <v>342</v>
      </c>
      <c r="B2501" s="112" t="s">
        <v>4228</v>
      </c>
      <c r="C2501" s="116" t="s">
        <v>1226</v>
      </c>
    </row>
    <row r="2502" spans="1:3" ht="15">
      <c r="A2502" s="113" t="s">
        <v>342</v>
      </c>
      <c r="B2502" s="112" t="s">
        <v>2644</v>
      </c>
      <c r="C2502" s="116" t="s">
        <v>1226</v>
      </c>
    </row>
    <row r="2503" spans="1:3" ht="15">
      <c r="A2503" s="113" t="s">
        <v>342</v>
      </c>
      <c r="B2503" s="112" t="s">
        <v>2669</v>
      </c>
      <c r="C2503" s="116" t="s">
        <v>1226</v>
      </c>
    </row>
    <row r="2504" spans="1:3" ht="15">
      <c r="A2504" s="113" t="s">
        <v>342</v>
      </c>
      <c r="B2504" s="112" t="s">
        <v>4229</v>
      </c>
      <c r="C2504" s="116" t="s">
        <v>1226</v>
      </c>
    </row>
    <row r="2505" spans="1:3" ht="15">
      <c r="A2505" s="113" t="s">
        <v>342</v>
      </c>
      <c r="B2505" s="112" t="s">
        <v>2766</v>
      </c>
      <c r="C2505" s="116" t="s">
        <v>1226</v>
      </c>
    </row>
    <row r="2506" spans="1:3" ht="15">
      <c r="A2506" s="113" t="s">
        <v>342</v>
      </c>
      <c r="B2506" s="112" t="s">
        <v>2684</v>
      </c>
      <c r="C2506" s="116" t="s">
        <v>1226</v>
      </c>
    </row>
    <row r="2507" spans="1:3" ht="15">
      <c r="A2507" s="113" t="s">
        <v>342</v>
      </c>
      <c r="B2507" s="112" t="s">
        <v>2695</v>
      </c>
      <c r="C2507" s="116" t="s">
        <v>1226</v>
      </c>
    </row>
    <row r="2508" spans="1:3" ht="15">
      <c r="A2508" s="113" t="s">
        <v>342</v>
      </c>
      <c r="B2508" s="112" t="s">
        <v>4230</v>
      </c>
      <c r="C2508" s="116" t="s">
        <v>1226</v>
      </c>
    </row>
    <row r="2509" spans="1:3" ht="15">
      <c r="A2509" s="113" t="s">
        <v>257</v>
      </c>
      <c r="B2509" s="112" t="s">
        <v>2374</v>
      </c>
      <c r="C2509" s="116" t="s">
        <v>1080</v>
      </c>
    </row>
    <row r="2510" spans="1:3" ht="15">
      <c r="A2510" s="113" t="s">
        <v>257</v>
      </c>
      <c r="B2510" s="112" t="s">
        <v>2373</v>
      </c>
      <c r="C2510" s="116" t="s">
        <v>1080</v>
      </c>
    </row>
    <row r="2511" spans="1:3" ht="15">
      <c r="A2511" s="113" t="s">
        <v>257</v>
      </c>
      <c r="B2511" s="112" t="s">
        <v>681</v>
      </c>
      <c r="C2511" s="116" t="s">
        <v>1080</v>
      </c>
    </row>
    <row r="2512" spans="1:3" ht="15">
      <c r="A2512" s="113" t="s">
        <v>257</v>
      </c>
      <c r="B2512" s="112" t="s">
        <v>4231</v>
      </c>
      <c r="C2512" s="116" t="s">
        <v>1080</v>
      </c>
    </row>
    <row r="2513" spans="1:3" ht="15">
      <c r="A2513" s="113" t="s">
        <v>257</v>
      </c>
      <c r="B2513" s="112" t="s">
        <v>2378</v>
      </c>
      <c r="C2513" s="116" t="s">
        <v>1080</v>
      </c>
    </row>
    <row r="2514" spans="1:3" ht="15">
      <c r="A2514" s="113" t="s">
        <v>257</v>
      </c>
      <c r="B2514" s="112" t="s">
        <v>4232</v>
      </c>
      <c r="C2514" s="116" t="s">
        <v>1080</v>
      </c>
    </row>
    <row r="2515" spans="1:3" ht="15">
      <c r="A2515" s="113" t="s">
        <v>257</v>
      </c>
      <c r="B2515" s="112" t="s">
        <v>268</v>
      </c>
      <c r="C2515" s="116" t="s">
        <v>1080</v>
      </c>
    </row>
    <row r="2516" spans="1:3" ht="15">
      <c r="A2516" s="113" t="s">
        <v>257</v>
      </c>
      <c r="B2516" s="112" t="s">
        <v>377</v>
      </c>
      <c r="C2516" s="116" t="s">
        <v>1080</v>
      </c>
    </row>
    <row r="2517" spans="1:3" ht="15">
      <c r="A2517" s="113" t="s">
        <v>274</v>
      </c>
      <c r="B2517" s="112" t="s">
        <v>2663</v>
      </c>
      <c r="C2517" s="116" t="s">
        <v>1111</v>
      </c>
    </row>
    <row r="2518" spans="1:3" ht="15">
      <c r="A2518" s="113" t="s">
        <v>274</v>
      </c>
      <c r="B2518" s="112" t="s">
        <v>2829</v>
      </c>
      <c r="C2518" s="116" t="s">
        <v>1111</v>
      </c>
    </row>
    <row r="2519" spans="1:3" ht="15">
      <c r="A2519" s="113" t="s">
        <v>274</v>
      </c>
      <c r="B2519" s="112" t="s">
        <v>2671</v>
      </c>
      <c r="C2519" s="116" t="s">
        <v>1111</v>
      </c>
    </row>
    <row r="2520" spans="1:3" ht="15">
      <c r="A2520" s="113" t="s">
        <v>274</v>
      </c>
      <c r="B2520" s="112" t="s">
        <v>2688</v>
      </c>
      <c r="C2520" s="116" t="s">
        <v>1111</v>
      </c>
    </row>
    <row r="2521" spans="1:3" ht="15">
      <c r="A2521" s="113" t="s">
        <v>274</v>
      </c>
      <c r="B2521" s="112" t="s">
        <v>2376</v>
      </c>
      <c r="C2521" s="116" t="s">
        <v>1111</v>
      </c>
    </row>
    <row r="2522" spans="1:3" ht="15">
      <c r="A2522" s="113" t="s">
        <v>274</v>
      </c>
      <c r="B2522" s="112" t="s">
        <v>2374</v>
      </c>
      <c r="C2522" s="116" t="s">
        <v>1111</v>
      </c>
    </row>
    <row r="2523" spans="1:3" ht="15">
      <c r="A2523" s="113" t="s">
        <v>274</v>
      </c>
      <c r="B2523" s="112" t="s">
        <v>2645</v>
      </c>
      <c r="C2523" s="116" t="s">
        <v>1111</v>
      </c>
    </row>
    <row r="2524" spans="1:3" ht="15">
      <c r="A2524" s="113" t="s">
        <v>274</v>
      </c>
      <c r="B2524" s="112" t="s">
        <v>2373</v>
      </c>
      <c r="C2524" s="116" t="s">
        <v>1111</v>
      </c>
    </row>
    <row r="2525" spans="1:3" ht="15">
      <c r="A2525" s="113" t="s">
        <v>274</v>
      </c>
      <c r="B2525" s="112" t="s">
        <v>681</v>
      </c>
      <c r="C2525" s="116" t="s">
        <v>1111</v>
      </c>
    </row>
    <row r="2526" spans="1:3" ht="15">
      <c r="A2526" s="113" t="s">
        <v>274</v>
      </c>
      <c r="B2526" s="112" t="s">
        <v>2890</v>
      </c>
      <c r="C2526" s="116" t="s">
        <v>1111</v>
      </c>
    </row>
    <row r="2527" spans="1:3" ht="15">
      <c r="A2527" s="113" t="s">
        <v>274</v>
      </c>
      <c r="B2527" s="112" t="s">
        <v>3028</v>
      </c>
      <c r="C2527" s="116" t="s">
        <v>1111</v>
      </c>
    </row>
    <row r="2528" spans="1:3" ht="15">
      <c r="A2528" s="113" t="s">
        <v>274</v>
      </c>
      <c r="B2528" s="112" t="s">
        <v>2977</v>
      </c>
      <c r="C2528" s="116" t="s">
        <v>1111</v>
      </c>
    </row>
    <row r="2529" spans="1:3" ht="15">
      <c r="A2529" s="113" t="s">
        <v>274</v>
      </c>
      <c r="B2529" s="112" t="s">
        <v>2873</v>
      </c>
      <c r="C2529" s="116" t="s">
        <v>1111</v>
      </c>
    </row>
    <row r="2530" spans="1:3" ht="15">
      <c r="A2530" s="113" t="s">
        <v>274</v>
      </c>
      <c r="B2530" s="112" t="s">
        <v>2740</v>
      </c>
      <c r="C2530" s="116" t="s">
        <v>1111</v>
      </c>
    </row>
    <row r="2531" spans="1:3" ht="15">
      <c r="A2531" s="113" t="s">
        <v>274</v>
      </c>
      <c r="B2531" s="112" t="s">
        <v>2927</v>
      </c>
      <c r="C2531" s="116" t="s">
        <v>1111</v>
      </c>
    </row>
    <row r="2532" spans="1:3" ht="15">
      <c r="A2532" s="113" t="s">
        <v>274</v>
      </c>
      <c r="B2532" s="112" t="s">
        <v>2862</v>
      </c>
      <c r="C2532" s="116" t="s">
        <v>1111</v>
      </c>
    </row>
    <row r="2533" spans="1:3" ht="15">
      <c r="A2533" s="113" t="s">
        <v>274</v>
      </c>
      <c r="B2533" s="112" t="s">
        <v>2852</v>
      </c>
      <c r="C2533" s="116" t="s">
        <v>1111</v>
      </c>
    </row>
    <row r="2534" spans="1:3" ht="15">
      <c r="A2534" s="113" t="s">
        <v>274</v>
      </c>
      <c r="B2534" s="112" t="s">
        <v>338</v>
      </c>
      <c r="C2534" s="116" t="s">
        <v>1111</v>
      </c>
    </row>
    <row r="2535" spans="1:3" ht="15">
      <c r="A2535" s="113" t="s">
        <v>291</v>
      </c>
      <c r="B2535" s="112" t="s">
        <v>2374</v>
      </c>
      <c r="C2535" s="116" t="s">
        <v>1145</v>
      </c>
    </row>
    <row r="2536" spans="1:3" ht="15">
      <c r="A2536" s="113" t="s">
        <v>291</v>
      </c>
      <c r="B2536" s="112" t="s">
        <v>2373</v>
      </c>
      <c r="C2536" s="116" t="s">
        <v>1145</v>
      </c>
    </row>
    <row r="2537" spans="1:3" ht="15">
      <c r="A2537" s="113" t="s">
        <v>291</v>
      </c>
      <c r="B2537" s="112" t="s">
        <v>681</v>
      </c>
      <c r="C2537" s="116" t="s">
        <v>1145</v>
      </c>
    </row>
    <row r="2538" spans="1:3" ht="15">
      <c r="A2538" s="113" t="s">
        <v>291</v>
      </c>
      <c r="B2538" s="112" t="s">
        <v>2826</v>
      </c>
      <c r="C2538" s="116" t="s">
        <v>1145</v>
      </c>
    </row>
    <row r="2539" spans="1:3" ht="15">
      <c r="A2539" s="113" t="s">
        <v>291</v>
      </c>
      <c r="B2539" s="112" t="s">
        <v>2748</v>
      </c>
      <c r="C2539" s="116" t="s">
        <v>1145</v>
      </c>
    </row>
    <row r="2540" spans="1:3" ht="15">
      <c r="A2540" s="113" t="s">
        <v>291</v>
      </c>
      <c r="B2540" s="112" t="s">
        <v>2368</v>
      </c>
      <c r="C2540" s="116" t="s">
        <v>1145</v>
      </c>
    </row>
    <row r="2541" spans="1:3" ht="15">
      <c r="A2541" s="113" t="s">
        <v>291</v>
      </c>
      <c r="B2541" s="112" t="s">
        <v>2988</v>
      </c>
      <c r="C2541" s="116" t="s">
        <v>1145</v>
      </c>
    </row>
    <row r="2542" spans="1:3" ht="15">
      <c r="A2542" s="113" t="s">
        <v>291</v>
      </c>
      <c r="B2542" s="112" t="s">
        <v>4233</v>
      </c>
      <c r="C2542" s="116" t="s">
        <v>1145</v>
      </c>
    </row>
    <row r="2543" spans="1:3" ht="15">
      <c r="A2543" s="113" t="s">
        <v>291</v>
      </c>
      <c r="B2543" s="112" t="s">
        <v>4234</v>
      </c>
      <c r="C2543" s="116" t="s">
        <v>1145</v>
      </c>
    </row>
    <row r="2544" spans="1:3" ht="15">
      <c r="A2544" s="113" t="s">
        <v>291</v>
      </c>
      <c r="B2544" s="112" t="s">
        <v>2780</v>
      </c>
      <c r="C2544" s="116" t="s">
        <v>1145</v>
      </c>
    </row>
    <row r="2545" spans="1:3" ht="15">
      <c r="A2545" s="113" t="s">
        <v>291</v>
      </c>
      <c r="B2545" s="112" t="s">
        <v>2973</v>
      </c>
      <c r="C2545" s="116" t="s">
        <v>1145</v>
      </c>
    </row>
    <row r="2546" spans="1:3" ht="15">
      <c r="A2546" s="113" t="s">
        <v>291</v>
      </c>
      <c r="B2546" s="112" t="s">
        <v>2783</v>
      </c>
      <c r="C2546" s="116" t="s">
        <v>1145</v>
      </c>
    </row>
    <row r="2547" spans="1:3" ht="15">
      <c r="A2547" s="113" t="s">
        <v>291</v>
      </c>
      <c r="B2547" s="112" t="s">
        <v>2381</v>
      </c>
      <c r="C2547" s="116" t="s">
        <v>1145</v>
      </c>
    </row>
    <row r="2548" spans="1:3" ht="15">
      <c r="A2548" s="113" t="s">
        <v>291</v>
      </c>
      <c r="B2548" s="112" t="s">
        <v>4235</v>
      </c>
      <c r="C2548" s="116" t="s">
        <v>1145</v>
      </c>
    </row>
    <row r="2549" spans="1:3" ht="15">
      <c r="A2549" s="113" t="s">
        <v>291</v>
      </c>
      <c r="B2549" s="112" t="s">
        <v>2681</v>
      </c>
      <c r="C2549" s="116" t="s">
        <v>1145</v>
      </c>
    </row>
    <row r="2550" spans="1:3" ht="15">
      <c r="A2550" s="113" t="s">
        <v>291</v>
      </c>
      <c r="B2550" s="112" t="s">
        <v>2655</v>
      </c>
      <c r="C2550" s="116" t="s">
        <v>1145</v>
      </c>
    </row>
    <row r="2551" spans="1:3" ht="15">
      <c r="A2551" s="113" t="s">
        <v>291</v>
      </c>
      <c r="B2551" s="112" t="s">
        <v>4236</v>
      </c>
      <c r="C2551" s="116" t="s">
        <v>1145</v>
      </c>
    </row>
    <row r="2552" spans="1:3" ht="15">
      <c r="A2552" s="113" t="s">
        <v>291</v>
      </c>
      <c r="B2552" s="112">
        <v>2024</v>
      </c>
      <c r="C2552" s="116" t="s">
        <v>1145</v>
      </c>
    </row>
    <row r="2553" spans="1:3" ht="15">
      <c r="A2553" s="113" t="s">
        <v>291</v>
      </c>
      <c r="B2553" s="112" t="s">
        <v>2877</v>
      </c>
      <c r="C2553" s="116" t="s">
        <v>1145</v>
      </c>
    </row>
    <row r="2554" spans="1:3" ht="15">
      <c r="A2554" s="113" t="s">
        <v>291</v>
      </c>
      <c r="B2554" s="112" t="s">
        <v>2751</v>
      </c>
      <c r="C2554" s="116" t="s">
        <v>1145</v>
      </c>
    </row>
    <row r="2555" spans="1:3" ht="15">
      <c r="A2555" s="113" t="s">
        <v>291</v>
      </c>
      <c r="B2555" s="112" t="s">
        <v>4237</v>
      </c>
      <c r="C2555" s="116" t="s">
        <v>1145</v>
      </c>
    </row>
    <row r="2556" spans="1:3" ht="15">
      <c r="A2556" s="113" t="s">
        <v>291</v>
      </c>
      <c r="B2556" s="112" t="s">
        <v>4238</v>
      </c>
      <c r="C2556" s="116" t="s">
        <v>1145</v>
      </c>
    </row>
    <row r="2557" spans="1:3" ht="15">
      <c r="A2557" s="113" t="s">
        <v>269</v>
      </c>
      <c r="B2557" s="112" t="s">
        <v>2374</v>
      </c>
      <c r="C2557" s="116" t="s">
        <v>1103</v>
      </c>
    </row>
    <row r="2558" spans="1:3" ht="15">
      <c r="A2558" s="113" t="s">
        <v>269</v>
      </c>
      <c r="B2558" s="112" t="s">
        <v>2373</v>
      </c>
      <c r="C2558" s="116" t="s">
        <v>1103</v>
      </c>
    </row>
    <row r="2559" spans="1:3" ht="15">
      <c r="A2559" s="113" t="s">
        <v>269</v>
      </c>
      <c r="B2559" s="112" t="s">
        <v>681</v>
      </c>
      <c r="C2559" s="116" t="s">
        <v>1103</v>
      </c>
    </row>
    <row r="2560" spans="1:3" ht="15">
      <c r="A2560" s="113" t="s">
        <v>269</v>
      </c>
      <c r="B2560" s="112" t="s">
        <v>2799</v>
      </c>
      <c r="C2560" s="116" t="s">
        <v>1103</v>
      </c>
    </row>
    <row r="2561" spans="1:3" ht="15">
      <c r="A2561" s="113" t="s">
        <v>269</v>
      </c>
      <c r="B2561" s="112" t="s">
        <v>387</v>
      </c>
      <c r="C2561" s="116" t="s">
        <v>1103</v>
      </c>
    </row>
    <row r="2562" spans="1:3" ht="15">
      <c r="A2562" s="113" t="s">
        <v>269</v>
      </c>
      <c r="B2562" s="112" t="s">
        <v>268</v>
      </c>
      <c r="C2562" s="116" t="s">
        <v>1103</v>
      </c>
    </row>
    <row r="2563" spans="1:3" ht="15">
      <c r="A2563" s="113" t="s">
        <v>258</v>
      </c>
      <c r="B2563" s="112" t="s">
        <v>4239</v>
      </c>
      <c r="C2563" s="116" t="s">
        <v>1081</v>
      </c>
    </row>
    <row r="2564" spans="1:3" ht="15">
      <c r="A2564" s="113" t="s">
        <v>258</v>
      </c>
      <c r="B2564" s="112" t="s">
        <v>2643</v>
      </c>
      <c r="C2564" s="116" t="s">
        <v>1081</v>
      </c>
    </row>
    <row r="2565" spans="1:3" ht="15">
      <c r="A2565" s="113" t="s">
        <v>258</v>
      </c>
      <c r="B2565" s="112" t="s">
        <v>2374</v>
      </c>
      <c r="C2565" s="116" t="s">
        <v>1081</v>
      </c>
    </row>
    <row r="2566" spans="1:3" ht="15">
      <c r="A2566" s="113" t="s">
        <v>258</v>
      </c>
      <c r="B2566" s="112" t="s">
        <v>2373</v>
      </c>
      <c r="C2566" s="116" t="s">
        <v>1081</v>
      </c>
    </row>
    <row r="2567" spans="1:3" ht="15">
      <c r="A2567" s="113" t="s">
        <v>258</v>
      </c>
      <c r="B2567" s="112" t="s">
        <v>681</v>
      </c>
      <c r="C2567" s="116" t="s">
        <v>1081</v>
      </c>
    </row>
    <row r="2568" spans="1:3" ht="15">
      <c r="A2568" s="113" t="s">
        <v>258</v>
      </c>
      <c r="B2568" s="112" t="s">
        <v>2887</v>
      </c>
      <c r="C2568" s="116" t="s">
        <v>1081</v>
      </c>
    </row>
    <row r="2569" spans="1:3" ht="15">
      <c r="A2569" s="113" t="s">
        <v>258</v>
      </c>
      <c r="B2569" s="112" t="s">
        <v>4240</v>
      </c>
      <c r="C2569" s="116" t="s">
        <v>1081</v>
      </c>
    </row>
    <row r="2570" spans="1:3" ht="15">
      <c r="A2570" s="113" t="s">
        <v>258</v>
      </c>
      <c r="B2570" s="112" t="s">
        <v>2379</v>
      </c>
      <c r="C2570" s="116" t="s">
        <v>1081</v>
      </c>
    </row>
    <row r="2571" spans="1:3" ht="15">
      <c r="A2571" s="113" t="s">
        <v>258</v>
      </c>
      <c r="B2571" s="112" t="s">
        <v>2638</v>
      </c>
      <c r="C2571" s="116" t="s">
        <v>1081</v>
      </c>
    </row>
    <row r="2572" spans="1:3" ht="15">
      <c r="A2572" s="113" t="s">
        <v>258</v>
      </c>
      <c r="B2572" s="112" t="s">
        <v>2753</v>
      </c>
      <c r="C2572" s="116" t="s">
        <v>1081</v>
      </c>
    </row>
    <row r="2573" spans="1:3" ht="15">
      <c r="A2573" s="113" t="s">
        <v>258</v>
      </c>
      <c r="B2573" s="112" t="s">
        <v>4241</v>
      </c>
      <c r="C2573" s="116" t="s">
        <v>1081</v>
      </c>
    </row>
    <row r="2574" spans="1:3" ht="15">
      <c r="A2574" s="113" t="s">
        <v>258</v>
      </c>
      <c r="B2574" s="112" t="s">
        <v>4242</v>
      </c>
      <c r="C2574" s="116" t="s">
        <v>1081</v>
      </c>
    </row>
    <row r="2575" spans="1:3" ht="15">
      <c r="A2575" s="113" t="s">
        <v>258</v>
      </c>
      <c r="B2575" s="112" t="s">
        <v>2774</v>
      </c>
      <c r="C2575" s="116" t="s">
        <v>1081</v>
      </c>
    </row>
    <row r="2576" spans="1:3" ht="15">
      <c r="A2576" s="113" t="s">
        <v>258</v>
      </c>
      <c r="B2576" s="112" t="s">
        <v>4243</v>
      </c>
      <c r="C2576" s="116" t="s">
        <v>1081</v>
      </c>
    </row>
    <row r="2577" spans="1:3" ht="15">
      <c r="A2577" s="113" t="s">
        <v>258</v>
      </c>
      <c r="B2577" s="112" t="s">
        <v>2903</v>
      </c>
      <c r="C2577" s="116" t="s">
        <v>1081</v>
      </c>
    </row>
    <row r="2578" spans="1:3" ht="15">
      <c r="A2578" s="113" t="s">
        <v>258</v>
      </c>
      <c r="B2578" s="112" t="s">
        <v>4244</v>
      </c>
      <c r="C2578" s="116" t="s">
        <v>1081</v>
      </c>
    </row>
    <row r="2579" spans="1:3" ht="15">
      <c r="A2579" s="113" t="s">
        <v>258</v>
      </c>
      <c r="B2579" s="112" t="s">
        <v>2648</v>
      </c>
      <c r="C2579" s="116" t="s">
        <v>1081</v>
      </c>
    </row>
    <row r="2580" spans="1:3" ht="15">
      <c r="A2580" s="113" t="s">
        <v>258</v>
      </c>
      <c r="B2580" s="112" t="s">
        <v>328</v>
      </c>
      <c r="C2580" s="116" t="s">
        <v>1081</v>
      </c>
    </row>
    <row r="2581" spans="1:3" ht="15">
      <c r="A2581" s="113" t="s">
        <v>331</v>
      </c>
      <c r="B2581" s="112" t="s">
        <v>4245</v>
      </c>
      <c r="C2581" s="116" t="s">
        <v>1194</v>
      </c>
    </row>
    <row r="2582" spans="1:3" ht="15">
      <c r="A2582" s="113" t="s">
        <v>331</v>
      </c>
      <c r="B2582" s="112" t="s">
        <v>2376</v>
      </c>
      <c r="C2582" s="116" t="s">
        <v>1194</v>
      </c>
    </row>
    <row r="2583" spans="1:3" ht="15">
      <c r="A2583" s="113" t="s">
        <v>331</v>
      </c>
      <c r="B2583" s="112" t="s">
        <v>4246</v>
      </c>
      <c r="C2583" s="116" t="s">
        <v>1194</v>
      </c>
    </row>
    <row r="2584" spans="1:3" ht="15">
      <c r="A2584" s="113" t="s">
        <v>331</v>
      </c>
      <c r="B2584" s="112" t="s">
        <v>4247</v>
      </c>
      <c r="C2584" s="116" t="s">
        <v>1194</v>
      </c>
    </row>
    <row r="2585" spans="1:3" ht="15">
      <c r="A2585" s="113" t="s">
        <v>331</v>
      </c>
      <c r="B2585" s="112" t="s">
        <v>4248</v>
      </c>
      <c r="C2585" s="116" t="s">
        <v>1194</v>
      </c>
    </row>
    <row r="2586" spans="1:3" ht="15">
      <c r="A2586" s="113" t="s">
        <v>331</v>
      </c>
      <c r="B2586" s="112" t="s">
        <v>4249</v>
      </c>
      <c r="C2586" s="116" t="s">
        <v>1194</v>
      </c>
    </row>
    <row r="2587" spans="1:3" ht="15">
      <c r="A2587" s="113" t="s">
        <v>331</v>
      </c>
      <c r="B2587" s="112" t="s">
        <v>2652</v>
      </c>
      <c r="C2587" s="116" t="s">
        <v>1194</v>
      </c>
    </row>
    <row r="2588" spans="1:3" ht="15">
      <c r="A2588" s="113" t="s">
        <v>331</v>
      </c>
      <c r="B2588" s="112" t="s">
        <v>4250</v>
      </c>
      <c r="C2588" s="116" t="s">
        <v>1194</v>
      </c>
    </row>
    <row r="2589" spans="1:3" ht="15">
      <c r="A2589" s="113" t="s">
        <v>331</v>
      </c>
      <c r="B2589" s="112" t="s">
        <v>4251</v>
      </c>
      <c r="C2589" s="116" t="s">
        <v>1194</v>
      </c>
    </row>
    <row r="2590" spans="1:3" ht="15">
      <c r="A2590" s="113" t="s">
        <v>331</v>
      </c>
      <c r="B2590" s="112" t="s">
        <v>4252</v>
      </c>
      <c r="C2590" s="116" t="s">
        <v>1194</v>
      </c>
    </row>
    <row r="2591" spans="1:3" ht="15">
      <c r="A2591" s="113" t="s">
        <v>308</v>
      </c>
      <c r="B2591" s="112" t="s">
        <v>682</v>
      </c>
      <c r="C2591" s="116" t="s">
        <v>1163</v>
      </c>
    </row>
    <row r="2592" spans="1:3" ht="15">
      <c r="A2592" s="113" t="s">
        <v>308</v>
      </c>
      <c r="B2592" s="112" t="s">
        <v>2662</v>
      </c>
      <c r="C2592" s="116" t="s">
        <v>1163</v>
      </c>
    </row>
    <row r="2593" spans="1:3" ht="15">
      <c r="A2593" s="113" t="s">
        <v>308</v>
      </c>
      <c r="B2593" s="112" t="s">
        <v>4253</v>
      </c>
      <c r="C2593" s="116" t="s">
        <v>1163</v>
      </c>
    </row>
    <row r="2594" spans="1:3" ht="15">
      <c r="A2594" s="113" t="s">
        <v>308</v>
      </c>
      <c r="B2594" s="112" t="s">
        <v>4254</v>
      </c>
      <c r="C2594" s="116" t="s">
        <v>1163</v>
      </c>
    </row>
    <row r="2595" spans="1:3" ht="15">
      <c r="A2595" s="113" t="s">
        <v>308</v>
      </c>
      <c r="B2595" s="112" t="s">
        <v>2946</v>
      </c>
      <c r="C2595" s="116" t="s">
        <v>1163</v>
      </c>
    </row>
    <row r="2596" spans="1:3" ht="15">
      <c r="A2596" s="113" t="s">
        <v>308</v>
      </c>
      <c r="B2596" s="112">
        <v>0</v>
      </c>
      <c r="C2596" s="116" t="s">
        <v>1163</v>
      </c>
    </row>
    <row r="2597" spans="1:3" ht="15">
      <c r="A2597" s="113" t="s">
        <v>308</v>
      </c>
      <c r="B2597" s="112" t="s">
        <v>2678</v>
      </c>
      <c r="C2597" s="116" t="s">
        <v>1163</v>
      </c>
    </row>
    <row r="2598" spans="1:3" ht="15">
      <c r="A2598" s="113" t="s">
        <v>308</v>
      </c>
      <c r="B2598" s="112">
        <v>20</v>
      </c>
      <c r="C2598" s="116" t="s">
        <v>1163</v>
      </c>
    </row>
    <row r="2599" spans="1:3" ht="15">
      <c r="A2599" s="113" t="s">
        <v>308</v>
      </c>
      <c r="B2599" s="112" t="s">
        <v>2380</v>
      </c>
      <c r="C2599" s="116" t="s">
        <v>1163</v>
      </c>
    </row>
    <row r="2600" spans="1:3" ht="15">
      <c r="A2600" s="113" t="s">
        <v>308</v>
      </c>
      <c r="B2600" s="112" t="s">
        <v>4255</v>
      </c>
      <c r="C2600" s="116" t="s">
        <v>1163</v>
      </c>
    </row>
    <row r="2601" spans="1:3" ht="15">
      <c r="A2601" s="113" t="s">
        <v>308</v>
      </c>
      <c r="B2601" s="112" t="s">
        <v>2754</v>
      </c>
      <c r="C2601" s="116" t="s">
        <v>1163</v>
      </c>
    </row>
    <row r="2602" spans="1:3" ht="15">
      <c r="A2602" s="113" t="s">
        <v>308</v>
      </c>
      <c r="B2602" s="112" t="s">
        <v>2763</v>
      </c>
      <c r="C2602" s="116" t="s">
        <v>1163</v>
      </c>
    </row>
    <row r="2603" spans="1:3" ht="15">
      <c r="A2603" s="113" t="s">
        <v>308</v>
      </c>
      <c r="B2603" s="112" t="s">
        <v>4256</v>
      </c>
      <c r="C2603" s="116" t="s">
        <v>1163</v>
      </c>
    </row>
    <row r="2604" spans="1:3" ht="15">
      <c r="A2604" s="113" t="s">
        <v>308</v>
      </c>
      <c r="B2604" s="112" t="s">
        <v>2377</v>
      </c>
      <c r="C2604" s="116" t="s">
        <v>1163</v>
      </c>
    </row>
    <row r="2605" spans="1:3" ht="15">
      <c r="A2605" s="113" t="s">
        <v>308</v>
      </c>
      <c r="B2605" s="112" t="s">
        <v>4257</v>
      </c>
      <c r="C2605" s="116" t="s">
        <v>1163</v>
      </c>
    </row>
    <row r="2606" spans="1:3" ht="15">
      <c r="A2606" s="113" t="s">
        <v>308</v>
      </c>
      <c r="B2606" s="112" t="s">
        <v>4258</v>
      </c>
      <c r="C2606" s="116" t="s">
        <v>1163</v>
      </c>
    </row>
    <row r="2607" spans="1:3" ht="15">
      <c r="A2607" s="113" t="s">
        <v>308</v>
      </c>
      <c r="B2607" s="112" t="s">
        <v>2865</v>
      </c>
      <c r="C2607" s="116" t="s">
        <v>1163</v>
      </c>
    </row>
    <row r="2608" spans="1:3" ht="15">
      <c r="A2608" s="113" t="s">
        <v>308</v>
      </c>
      <c r="B2608" s="112" t="s">
        <v>3020</v>
      </c>
      <c r="C2608" s="116" t="s">
        <v>1163</v>
      </c>
    </row>
    <row r="2609" spans="1:3" ht="15">
      <c r="A2609" s="113" t="s">
        <v>308</v>
      </c>
      <c r="B2609" s="112" t="s">
        <v>2776</v>
      </c>
      <c r="C2609" s="116" t="s">
        <v>1163</v>
      </c>
    </row>
    <row r="2610" spans="1:3" ht="15">
      <c r="A2610" s="113" t="s">
        <v>308</v>
      </c>
      <c r="B2610" s="112" t="s">
        <v>2827</v>
      </c>
      <c r="C2610" s="116" t="s">
        <v>1163</v>
      </c>
    </row>
    <row r="2611" spans="1:3" ht="15">
      <c r="A2611" s="113" t="s">
        <v>308</v>
      </c>
      <c r="B2611" s="112" t="s">
        <v>4259</v>
      </c>
      <c r="C2611" s="116" t="s">
        <v>1163</v>
      </c>
    </row>
    <row r="2612" spans="1:3" ht="15">
      <c r="A2612" s="113" t="s">
        <v>308</v>
      </c>
      <c r="B2612" s="112" t="s">
        <v>468</v>
      </c>
      <c r="C2612" s="116" t="s">
        <v>1163</v>
      </c>
    </row>
    <row r="2613" spans="1:3" ht="15">
      <c r="A2613" s="113" t="s">
        <v>284</v>
      </c>
      <c r="B2613" s="112" t="s">
        <v>2379</v>
      </c>
      <c r="C2613" s="116" t="s">
        <v>1136</v>
      </c>
    </row>
    <row r="2614" spans="1:3" ht="15">
      <c r="A2614" s="113" t="s">
        <v>284</v>
      </c>
      <c r="B2614" s="112" t="s">
        <v>2677</v>
      </c>
      <c r="C2614" s="116" t="s">
        <v>1136</v>
      </c>
    </row>
    <row r="2615" spans="1:3" ht="15">
      <c r="A2615" s="113" t="s">
        <v>284</v>
      </c>
      <c r="B2615" s="112" t="s">
        <v>2657</v>
      </c>
      <c r="C2615" s="116" t="s">
        <v>1136</v>
      </c>
    </row>
    <row r="2616" spans="1:3" ht="15">
      <c r="A2616" s="113" t="s">
        <v>284</v>
      </c>
      <c r="B2616" s="112" t="s">
        <v>2678</v>
      </c>
      <c r="C2616" s="116" t="s">
        <v>1136</v>
      </c>
    </row>
    <row r="2617" spans="1:3" ht="15">
      <c r="A2617" s="113" t="s">
        <v>284</v>
      </c>
      <c r="B2617" s="112" t="s">
        <v>4260</v>
      </c>
      <c r="C2617" s="116" t="s">
        <v>1136</v>
      </c>
    </row>
    <row r="2618" spans="1:3" ht="15">
      <c r="A2618" s="113" t="s">
        <v>284</v>
      </c>
      <c r="B2618" s="112" t="s">
        <v>2879</v>
      </c>
      <c r="C2618" s="116" t="s">
        <v>1136</v>
      </c>
    </row>
    <row r="2619" spans="1:3" ht="15">
      <c r="A2619" s="113" t="s">
        <v>284</v>
      </c>
      <c r="B2619" s="112" t="s">
        <v>4261</v>
      </c>
      <c r="C2619" s="116" t="s">
        <v>1136</v>
      </c>
    </row>
    <row r="2620" spans="1:3" ht="15">
      <c r="A2620" s="113" t="s">
        <v>284</v>
      </c>
      <c r="B2620" s="112" t="s">
        <v>2908</v>
      </c>
      <c r="C2620" s="116" t="s">
        <v>1136</v>
      </c>
    </row>
    <row r="2621" spans="1:3" ht="15">
      <c r="A2621" s="113" t="s">
        <v>284</v>
      </c>
      <c r="B2621" s="112" t="s">
        <v>2380</v>
      </c>
      <c r="C2621" s="116" t="s">
        <v>1136</v>
      </c>
    </row>
    <row r="2622" spans="1:3" ht="15">
      <c r="A2622" s="113" t="s">
        <v>284</v>
      </c>
      <c r="B2622" s="112" t="s">
        <v>2748</v>
      </c>
      <c r="C2622" s="116" t="s">
        <v>1136</v>
      </c>
    </row>
    <row r="2623" spans="1:3" ht="15">
      <c r="A2623" s="113" t="s">
        <v>284</v>
      </c>
      <c r="B2623" s="112" t="s">
        <v>2697</v>
      </c>
      <c r="C2623" s="116" t="s">
        <v>1136</v>
      </c>
    </row>
    <row r="2624" spans="1:3" ht="15">
      <c r="A2624" s="113" t="s">
        <v>284</v>
      </c>
      <c r="B2624" s="112" t="s">
        <v>2376</v>
      </c>
      <c r="C2624" s="116" t="s">
        <v>1136</v>
      </c>
    </row>
    <row r="2625" spans="1:3" ht="15">
      <c r="A2625" s="113" t="s">
        <v>284</v>
      </c>
      <c r="B2625" s="112" t="s">
        <v>2642</v>
      </c>
      <c r="C2625" s="116" t="s">
        <v>1136</v>
      </c>
    </row>
    <row r="2626" spans="1:3" ht="15">
      <c r="A2626" s="113" t="s">
        <v>284</v>
      </c>
      <c r="B2626" s="112" t="s">
        <v>2652</v>
      </c>
      <c r="C2626" s="116" t="s">
        <v>1136</v>
      </c>
    </row>
    <row r="2627" spans="1:3" ht="15">
      <c r="A2627" s="113" t="s">
        <v>284</v>
      </c>
      <c r="B2627" s="112" t="s">
        <v>3016</v>
      </c>
      <c r="C2627" s="116" t="s">
        <v>1136</v>
      </c>
    </row>
    <row r="2628" spans="1:3" ht="15">
      <c r="A2628" s="113" t="s">
        <v>284</v>
      </c>
      <c r="B2628" s="112" t="s">
        <v>2902</v>
      </c>
      <c r="C2628" s="116" t="s">
        <v>1136</v>
      </c>
    </row>
    <row r="2629" spans="1:3" ht="15">
      <c r="A2629" s="113" t="s">
        <v>284</v>
      </c>
      <c r="B2629" s="112" t="s">
        <v>2788</v>
      </c>
      <c r="C2629" s="116" t="s">
        <v>1136</v>
      </c>
    </row>
    <row r="2630" spans="1:3" ht="15">
      <c r="A2630" s="113" t="s">
        <v>284</v>
      </c>
      <c r="B2630" s="112" t="s">
        <v>2693</v>
      </c>
      <c r="C2630" s="116" t="s">
        <v>1136</v>
      </c>
    </row>
    <row r="2631" spans="1:3" ht="15">
      <c r="A2631" s="113" t="s">
        <v>284</v>
      </c>
      <c r="B2631" s="112" t="s">
        <v>2374</v>
      </c>
      <c r="C2631" s="116" t="s">
        <v>1136</v>
      </c>
    </row>
    <row r="2632" spans="1:3" ht="15">
      <c r="A2632" s="113" t="s">
        <v>284</v>
      </c>
      <c r="B2632" s="112" t="s">
        <v>2373</v>
      </c>
      <c r="C2632" s="116" t="s">
        <v>1136</v>
      </c>
    </row>
    <row r="2633" spans="1:3" ht="15">
      <c r="A2633" s="113" t="s">
        <v>284</v>
      </c>
      <c r="B2633" s="112" t="s">
        <v>681</v>
      </c>
      <c r="C2633" s="116" t="s">
        <v>1136</v>
      </c>
    </row>
    <row r="2634" spans="1:3" ht="15">
      <c r="A2634" s="113" t="s">
        <v>284</v>
      </c>
      <c r="B2634" s="112" t="s">
        <v>424</v>
      </c>
      <c r="C2634" s="116" t="s">
        <v>1136</v>
      </c>
    </row>
    <row r="2635" spans="1:3" ht="15">
      <c r="A2635" s="113" t="s">
        <v>315</v>
      </c>
      <c r="B2635" s="112" t="s">
        <v>682</v>
      </c>
      <c r="C2635" s="116" t="s">
        <v>1175</v>
      </c>
    </row>
    <row r="2636" spans="1:3" ht="15">
      <c r="A2636" s="113" t="s">
        <v>315</v>
      </c>
      <c r="B2636" s="112" t="s">
        <v>2364</v>
      </c>
      <c r="C2636" s="116" t="s">
        <v>1175</v>
      </c>
    </row>
    <row r="2637" spans="1:3" ht="15">
      <c r="A2637" s="113" t="s">
        <v>315</v>
      </c>
      <c r="B2637" s="112" t="s">
        <v>4262</v>
      </c>
      <c r="C2637" s="116" t="s">
        <v>1175</v>
      </c>
    </row>
    <row r="2638" spans="1:3" ht="15">
      <c r="A2638" s="113" t="s">
        <v>315</v>
      </c>
      <c r="B2638" s="112" t="s">
        <v>4263</v>
      </c>
      <c r="C2638" s="116" t="s">
        <v>1175</v>
      </c>
    </row>
    <row r="2639" spans="1:3" ht="15">
      <c r="A2639" s="113" t="s">
        <v>315</v>
      </c>
      <c r="B2639" s="112" t="s">
        <v>4264</v>
      </c>
      <c r="C2639" s="116" t="s">
        <v>1175</v>
      </c>
    </row>
    <row r="2640" spans="1:3" ht="15">
      <c r="A2640" s="113" t="s">
        <v>315</v>
      </c>
      <c r="B2640" s="112" t="s">
        <v>4265</v>
      </c>
      <c r="C2640" s="116" t="s">
        <v>1175</v>
      </c>
    </row>
    <row r="2641" spans="1:3" ht="15">
      <c r="A2641" s="113" t="s">
        <v>315</v>
      </c>
      <c r="B2641" s="112" t="s">
        <v>4266</v>
      </c>
      <c r="C2641" s="116" t="s">
        <v>1175</v>
      </c>
    </row>
    <row r="2642" spans="1:3" ht="15">
      <c r="A2642" s="113" t="s">
        <v>315</v>
      </c>
      <c r="B2642" s="112" t="s">
        <v>3026</v>
      </c>
      <c r="C2642" s="116" t="s">
        <v>1175</v>
      </c>
    </row>
    <row r="2643" spans="1:3" ht="15">
      <c r="A2643" s="113" t="s">
        <v>315</v>
      </c>
      <c r="B2643" s="112" t="s">
        <v>314</v>
      </c>
      <c r="C2643" s="116" t="s">
        <v>1175</v>
      </c>
    </row>
    <row r="2644" spans="1:3" ht="15">
      <c r="A2644" s="113" t="s">
        <v>337</v>
      </c>
      <c r="B2644" s="112" t="s">
        <v>4267</v>
      </c>
      <c r="C2644" s="116" t="s">
        <v>1211</v>
      </c>
    </row>
    <row r="2645" spans="1:3" ht="15">
      <c r="A2645" s="113" t="s">
        <v>337</v>
      </c>
      <c r="B2645" s="112" t="s">
        <v>2699</v>
      </c>
      <c r="C2645" s="116" t="s">
        <v>1211</v>
      </c>
    </row>
    <row r="2646" spans="1:3" ht="15">
      <c r="A2646" s="113" t="s">
        <v>337</v>
      </c>
      <c r="B2646" s="112" t="s">
        <v>4268</v>
      </c>
      <c r="C2646" s="116" t="s">
        <v>1211</v>
      </c>
    </row>
    <row r="2647" spans="1:3" ht="15">
      <c r="A2647" s="113" t="s">
        <v>337</v>
      </c>
      <c r="B2647" s="112" t="s">
        <v>4269</v>
      </c>
      <c r="C2647" s="116" t="s">
        <v>1211</v>
      </c>
    </row>
    <row r="2648" spans="1:3" ht="15">
      <c r="A2648" s="113" t="s">
        <v>337</v>
      </c>
      <c r="B2648" s="112" t="s">
        <v>4270</v>
      </c>
      <c r="C2648" s="116" t="s">
        <v>1211</v>
      </c>
    </row>
    <row r="2649" spans="1:3" ht="15">
      <c r="A2649" s="113" t="s">
        <v>337</v>
      </c>
      <c r="B2649" s="112" t="s">
        <v>2376</v>
      </c>
      <c r="C2649" s="116" t="s">
        <v>1211</v>
      </c>
    </row>
    <row r="2650" spans="1:3" ht="15">
      <c r="A2650" s="113" t="s">
        <v>337</v>
      </c>
      <c r="B2650" s="112" t="s">
        <v>4271</v>
      </c>
      <c r="C2650" s="116" t="s">
        <v>1211</v>
      </c>
    </row>
    <row r="2651" spans="1:3" ht="15">
      <c r="A2651" s="113" t="s">
        <v>337</v>
      </c>
      <c r="B2651" s="112" t="s">
        <v>4272</v>
      </c>
      <c r="C2651" s="116" t="s">
        <v>1211</v>
      </c>
    </row>
    <row r="2652" spans="1:3" ht="15">
      <c r="A2652" s="113" t="s">
        <v>337</v>
      </c>
      <c r="B2652" s="112" t="s">
        <v>4273</v>
      </c>
      <c r="C2652" s="116" t="s">
        <v>1211</v>
      </c>
    </row>
    <row r="2653" spans="1:3" ht="15">
      <c r="A2653" s="113" t="s">
        <v>337</v>
      </c>
      <c r="B2653" s="112" t="s">
        <v>2689</v>
      </c>
      <c r="C2653" s="116" t="s">
        <v>1211</v>
      </c>
    </row>
    <row r="2654" spans="1:3" ht="15">
      <c r="A2654" s="113" t="s">
        <v>337</v>
      </c>
      <c r="B2654" s="112" t="s">
        <v>356</v>
      </c>
      <c r="C2654" s="116" t="s">
        <v>1211</v>
      </c>
    </row>
    <row r="2655" spans="1:3" ht="15">
      <c r="A2655" s="113" t="s">
        <v>230</v>
      </c>
      <c r="B2655" s="112" t="s">
        <v>2981</v>
      </c>
      <c r="C2655" s="116" t="s">
        <v>1034</v>
      </c>
    </row>
    <row r="2656" spans="1:3" ht="15">
      <c r="A2656" s="113" t="s">
        <v>230</v>
      </c>
      <c r="B2656" s="112" t="s">
        <v>2698</v>
      </c>
      <c r="C2656" s="116" t="s">
        <v>1034</v>
      </c>
    </row>
    <row r="2657" spans="1:3" ht="15">
      <c r="A2657" s="113" t="s">
        <v>230</v>
      </c>
      <c r="B2657" s="112" t="s">
        <v>2374</v>
      </c>
      <c r="C2657" s="116" t="s">
        <v>1034</v>
      </c>
    </row>
    <row r="2658" spans="1:3" ht="15">
      <c r="A2658" s="113" t="s">
        <v>230</v>
      </c>
      <c r="B2658" s="112" t="s">
        <v>2645</v>
      </c>
      <c r="C2658" s="116" t="s">
        <v>1034</v>
      </c>
    </row>
    <row r="2659" spans="1:3" ht="15">
      <c r="A2659" s="113" t="s">
        <v>230</v>
      </c>
      <c r="B2659" s="112" t="s">
        <v>2373</v>
      </c>
      <c r="C2659" s="116" t="s">
        <v>1034</v>
      </c>
    </row>
    <row r="2660" spans="1:3" ht="15">
      <c r="A2660" s="113" t="s">
        <v>230</v>
      </c>
      <c r="B2660" s="112" t="s">
        <v>681</v>
      </c>
      <c r="C2660" s="116" t="s">
        <v>1034</v>
      </c>
    </row>
    <row r="2661" spans="1:3" ht="15">
      <c r="A2661" s="113" t="s">
        <v>230</v>
      </c>
      <c r="B2661" s="112" t="s">
        <v>2701</v>
      </c>
      <c r="C2661" s="116" t="s">
        <v>1034</v>
      </c>
    </row>
    <row r="2662" spans="1:3" ht="15">
      <c r="A2662" s="113" t="s">
        <v>230</v>
      </c>
      <c r="B2662" s="112" t="s">
        <v>2909</v>
      </c>
      <c r="C2662" s="116" t="s">
        <v>1034</v>
      </c>
    </row>
    <row r="2663" spans="1:3" ht="15">
      <c r="A2663" s="113" t="s">
        <v>230</v>
      </c>
      <c r="B2663" s="112" t="s">
        <v>2816</v>
      </c>
      <c r="C2663" s="116" t="s">
        <v>1034</v>
      </c>
    </row>
    <row r="2664" spans="1:3" ht="15">
      <c r="A2664" s="113" t="s">
        <v>230</v>
      </c>
      <c r="B2664" s="112" t="s">
        <v>2663</v>
      </c>
      <c r="C2664" s="116" t="s">
        <v>1034</v>
      </c>
    </row>
    <row r="2665" spans="1:3" ht="15">
      <c r="A2665" s="113" t="s">
        <v>230</v>
      </c>
      <c r="B2665" s="112" t="s">
        <v>2863</v>
      </c>
      <c r="C2665" s="116" t="s">
        <v>1034</v>
      </c>
    </row>
    <row r="2666" spans="1:3" ht="15">
      <c r="A2666" s="113" t="s">
        <v>230</v>
      </c>
      <c r="B2666" s="112" t="s">
        <v>4274</v>
      </c>
      <c r="C2666" s="116" t="s">
        <v>1034</v>
      </c>
    </row>
    <row r="2667" spans="1:3" ht="15">
      <c r="A2667" s="113" t="s">
        <v>230</v>
      </c>
      <c r="B2667" s="112" t="s">
        <v>4275</v>
      </c>
      <c r="C2667" s="116" t="s">
        <v>1034</v>
      </c>
    </row>
    <row r="2668" spans="1:3" ht="15">
      <c r="A2668" s="113" t="s">
        <v>230</v>
      </c>
      <c r="B2668" s="112" t="s">
        <v>351</v>
      </c>
      <c r="C2668" s="116" t="s">
        <v>1034</v>
      </c>
    </row>
    <row r="2669" spans="1:3" ht="15">
      <c r="A2669" s="113" t="s">
        <v>340</v>
      </c>
      <c r="B2669" s="112" t="s">
        <v>4276</v>
      </c>
      <c r="C2669" s="116" t="s">
        <v>1219</v>
      </c>
    </row>
    <row r="2670" spans="1:3" ht="15">
      <c r="A2670" s="113" t="s">
        <v>340</v>
      </c>
      <c r="B2670" s="112" t="s">
        <v>2652</v>
      </c>
      <c r="C2670" s="116" t="s">
        <v>1219</v>
      </c>
    </row>
    <row r="2671" spans="1:3" ht="15">
      <c r="A2671" s="113" t="s">
        <v>340</v>
      </c>
      <c r="B2671" s="112" t="s">
        <v>2772</v>
      </c>
      <c r="C2671" s="116" t="s">
        <v>1219</v>
      </c>
    </row>
    <row r="2672" spans="1:3" ht="15">
      <c r="A2672" s="113" t="s">
        <v>340</v>
      </c>
      <c r="B2672" s="112" t="s">
        <v>4277</v>
      </c>
      <c r="C2672" s="116" t="s">
        <v>1219</v>
      </c>
    </row>
    <row r="2673" spans="1:3" ht="15">
      <c r="A2673" s="113" t="s">
        <v>340</v>
      </c>
      <c r="B2673" s="112" t="s">
        <v>2943</v>
      </c>
      <c r="C2673" s="116" t="s">
        <v>1219</v>
      </c>
    </row>
    <row r="2674" spans="1:3" ht="15">
      <c r="A2674" s="113" t="s">
        <v>340</v>
      </c>
      <c r="B2674" s="112" t="s">
        <v>2759</v>
      </c>
      <c r="C2674" s="116" t="s">
        <v>1219</v>
      </c>
    </row>
    <row r="2675" spans="1:3" ht="15">
      <c r="A2675" s="113" t="s">
        <v>340</v>
      </c>
      <c r="B2675" s="112" t="s">
        <v>2666</v>
      </c>
      <c r="C2675" s="116" t="s">
        <v>1219</v>
      </c>
    </row>
    <row r="2676" spans="1:3" ht="15">
      <c r="A2676" s="113" t="s">
        <v>340</v>
      </c>
      <c r="B2676" s="112" t="s">
        <v>4278</v>
      </c>
      <c r="C2676" s="116" t="s">
        <v>1219</v>
      </c>
    </row>
    <row r="2677" spans="1:3" ht="15">
      <c r="A2677" s="113" t="s">
        <v>340</v>
      </c>
      <c r="B2677" s="112" t="s">
        <v>4279</v>
      </c>
      <c r="C2677" s="116" t="s">
        <v>1219</v>
      </c>
    </row>
    <row r="2678" spans="1:3" ht="15">
      <c r="A2678" s="113" t="s">
        <v>340</v>
      </c>
      <c r="B2678" s="112" t="s">
        <v>4280</v>
      </c>
      <c r="C2678" s="116" t="s">
        <v>1219</v>
      </c>
    </row>
    <row r="2679" spans="1:3" ht="15">
      <c r="A2679" s="113" t="s">
        <v>340</v>
      </c>
      <c r="B2679" s="112" t="s">
        <v>2377</v>
      </c>
      <c r="C2679" s="116" t="s">
        <v>1219</v>
      </c>
    </row>
    <row r="2680" spans="1:3" ht="15">
      <c r="A2680" s="113" t="s">
        <v>340</v>
      </c>
      <c r="B2680" s="112" t="s">
        <v>4281</v>
      </c>
      <c r="C2680" s="116" t="s">
        <v>1219</v>
      </c>
    </row>
    <row r="2681" spans="1:3" ht="15">
      <c r="A2681" s="113" t="s">
        <v>340</v>
      </c>
      <c r="B2681" s="112" t="s">
        <v>2717</v>
      </c>
      <c r="C2681" s="116" t="s">
        <v>1219</v>
      </c>
    </row>
    <row r="2682" spans="1:3" ht="15">
      <c r="A2682" s="113" t="s">
        <v>283</v>
      </c>
      <c r="B2682" s="112" t="s">
        <v>2374</v>
      </c>
      <c r="C2682" s="116" t="s">
        <v>1124</v>
      </c>
    </row>
    <row r="2683" spans="1:3" ht="15">
      <c r="A2683" s="113" t="s">
        <v>283</v>
      </c>
      <c r="B2683" s="112" t="s">
        <v>2373</v>
      </c>
      <c r="C2683" s="116" t="s">
        <v>1124</v>
      </c>
    </row>
    <row r="2684" spans="1:3" ht="15">
      <c r="A2684" s="113" t="s">
        <v>283</v>
      </c>
      <c r="B2684" s="112" t="s">
        <v>681</v>
      </c>
      <c r="C2684" s="116" t="s">
        <v>1124</v>
      </c>
    </row>
    <row r="2685" spans="1:3" ht="15">
      <c r="A2685" s="113" t="s">
        <v>283</v>
      </c>
      <c r="B2685" s="112" t="s">
        <v>334</v>
      </c>
      <c r="C2685" s="116" t="s">
        <v>1124</v>
      </c>
    </row>
    <row r="2686" spans="1:3" ht="15">
      <c r="A2686" s="113" t="s">
        <v>226</v>
      </c>
      <c r="B2686" s="112" t="s">
        <v>2897</v>
      </c>
      <c r="C2686" s="116" t="s">
        <v>1026</v>
      </c>
    </row>
    <row r="2687" spans="1:3" ht="15">
      <c r="A2687" s="113" t="s">
        <v>226</v>
      </c>
      <c r="B2687" s="112" t="s">
        <v>2666</v>
      </c>
      <c r="C2687" s="116" t="s">
        <v>1026</v>
      </c>
    </row>
    <row r="2688" spans="1:3" ht="15">
      <c r="A2688" s="113" t="s">
        <v>226</v>
      </c>
      <c r="B2688" s="112" t="s">
        <v>2374</v>
      </c>
      <c r="C2688" s="116" t="s">
        <v>1026</v>
      </c>
    </row>
    <row r="2689" spans="1:3" ht="15">
      <c r="A2689" s="113" t="s">
        <v>226</v>
      </c>
      <c r="B2689" s="112" t="s">
        <v>2373</v>
      </c>
      <c r="C2689" s="116" t="s">
        <v>1026</v>
      </c>
    </row>
    <row r="2690" spans="1:3" ht="15">
      <c r="A2690" s="113" t="s">
        <v>226</v>
      </c>
      <c r="B2690" s="112" t="s">
        <v>681</v>
      </c>
      <c r="C2690" s="116" t="s">
        <v>1026</v>
      </c>
    </row>
    <row r="2691" spans="1:3" ht="15">
      <c r="A2691" s="113" t="s">
        <v>226</v>
      </c>
      <c r="B2691" s="112" t="s">
        <v>338</v>
      </c>
      <c r="C2691" s="116" t="s">
        <v>1026</v>
      </c>
    </row>
    <row r="2692" spans="1:3" ht="15">
      <c r="A2692" s="113" t="s">
        <v>226</v>
      </c>
      <c r="B2692" s="112" t="s">
        <v>3340</v>
      </c>
      <c r="C2692" s="116" t="s">
        <v>1026</v>
      </c>
    </row>
    <row r="2693" spans="1:3" ht="15">
      <c r="A2693" s="113" t="s">
        <v>318</v>
      </c>
      <c r="B2693" s="112" t="s">
        <v>4282</v>
      </c>
      <c r="C2693" s="116" t="s">
        <v>1178</v>
      </c>
    </row>
    <row r="2694" spans="1:3" ht="15">
      <c r="A2694" s="113" t="s">
        <v>318</v>
      </c>
      <c r="B2694" s="112" t="s">
        <v>2780</v>
      </c>
      <c r="C2694" s="116" t="s">
        <v>1178</v>
      </c>
    </row>
    <row r="2695" spans="1:3" ht="15">
      <c r="A2695" s="113" t="s">
        <v>318</v>
      </c>
      <c r="B2695" s="112" t="s">
        <v>4283</v>
      </c>
      <c r="C2695" s="116" t="s">
        <v>1178</v>
      </c>
    </row>
    <row r="2696" spans="1:3" ht="15">
      <c r="A2696" s="113" t="s">
        <v>318</v>
      </c>
      <c r="B2696" s="112" t="s">
        <v>4284</v>
      </c>
      <c r="C2696" s="116" t="s">
        <v>1178</v>
      </c>
    </row>
    <row r="2697" spans="1:3" ht="15">
      <c r="A2697" s="113" t="s">
        <v>318</v>
      </c>
      <c r="B2697" s="112" t="s">
        <v>2678</v>
      </c>
      <c r="C2697" s="116" t="s">
        <v>1178</v>
      </c>
    </row>
    <row r="2698" spans="1:3" ht="15">
      <c r="A2698" s="113" t="s">
        <v>318</v>
      </c>
      <c r="B2698" s="112" t="s">
        <v>2798</v>
      </c>
      <c r="C2698" s="116" t="s">
        <v>1178</v>
      </c>
    </row>
    <row r="2699" spans="1:3" ht="15">
      <c r="A2699" s="113" t="s">
        <v>318</v>
      </c>
      <c r="B2699" s="112" t="s">
        <v>2665</v>
      </c>
      <c r="C2699" s="116" t="s">
        <v>1178</v>
      </c>
    </row>
    <row r="2700" spans="1:3" ht="15">
      <c r="A2700" s="113" t="s">
        <v>318</v>
      </c>
      <c r="B2700" s="112" t="s">
        <v>4285</v>
      </c>
      <c r="C2700" s="116" t="s">
        <v>1178</v>
      </c>
    </row>
    <row r="2701" spans="1:3" ht="15">
      <c r="A2701" s="113" t="s">
        <v>318</v>
      </c>
      <c r="B2701" s="112" t="s">
        <v>2376</v>
      </c>
      <c r="C2701" s="116" t="s">
        <v>1178</v>
      </c>
    </row>
    <row r="2702" spans="1:3" ht="15">
      <c r="A2702" s="113" t="s">
        <v>318</v>
      </c>
      <c r="B2702" s="112" t="s">
        <v>4286</v>
      </c>
      <c r="C2702" s="116" t="s">
        <v>1178</v>
      </c>
    </row>
    <row r="2703" spans="1:3" ht="15">
      <c r="A2703" s="113" t="s">
        <v>318</v>
      </c>
      <c r="B2703" s="112" t="s">
        <v>4287</v>
      </c>
      <c r="C2703" s="116" t="s">
        <v>1178</v>
      </c>
    </row>
    <row r="2704" spans="1:3" ht="15">
      <c r="A2704" s="113" t="s">
        <v>318</v>
      </c>
      <c r="B2704" s="112" t="s">
        <v>2641</v>
      </c>
      <c r="C2704" s="116" t="s">
        <v>1178</v>
      </c>
    </row>
    <row r="2705" spans="1:3" ht="15">
      <c r="A2705" s="113" t="s">
        <v>318</v>
      </c>
      <c r="B2705" s="112" t="s">
        <v>4288</v>
      </c>
      <c r="C2705" s="116" t="s">
        <v>1178</v>
      </c>
    </row>
    <row r="2706" spans="1:3" ht="15">
      <c r="A2706" s="113" t="s">
        <v>318</v>
      </c>
      <c r="B2706" s="112" t="s">
        <v>2640</v>
      </c>
      <c r="C2706" s="116" t="s">
        <v>1178</v>
      </c>
    </row>
    <row r="2707" spans="1:3" ht="15">
      <c r="A2707" s="113" t="s">
        <v>318</v>
      </c>
      <c r="B2707" s="112" t="s">
        <v>2704</v>
      </c>
      <c r="C2707" s="116" t="s">
        <v>1178</v>
      </c>
    </row>
    <row r="2708" spans="1:3" ht="15">
      <c r="A2708" s="113" t="s">
        <v>318</v>
      </c>
      <c r="B2708" s="112" t="s">
        <v>4289</v>
      </c>
      <c r="C2708" s="116" t="s">
        <v>1178</v>
      </c>
    </row>
    <row r="2709" spans="1:3" ht="15">
      <c r="A2709" s="113" t="s">
        <v>329</v>
      </c>
      <c r="B2709" s="112" t="s">
        <v>682</v>
      </c>
      <c r="C2709" s="116" t="s">
        <v>1195</v>
      </c>
    </row>
    <row r="2710" spans="1:3" ht="15">
      <c r="A2710" s="113" t="s">
        <v>329</v>
      </c>
      <c r="B2710" s="112" t="s">
        <v>4290</v>
      </c>
      <c r="C2710" s="116" t="s">
        <v>1195</v>
      </c>
    </row>
    <row r="2711" spans="1:3" ht="15">
      <c r="A2711" s="113" t="s">
        <v>329</v>
      </c>
      <c r="B2711" s="112" t="s">
        <v>4291</v>
      </c>
      <c r="C2711" s="116" t="s">
        <v>1195</v>
      </c>
    </row>
    <row r="2712" spans="1:3" ht="15">
      <c r="A2712" s="113" t="s">
        <v>329</v>
      </c>
      <c r="B2712" s="112" t="s">
        <v>4292</v>
      </c>
      <c r="C2712" s="116" t="s">
        <v>1195</v>
      </c>
    </row>
    <row r="2713" spans="1:3" ht="15">
      <c r="A2713" s="113" t="s">
        <v>329</v>
      </c>
      <c r="B2713" s="112" t="s">
        <v>2687</v>
      </c>
      <c r="C2713" s="116" t="s">
        <v>1195</v>
      </c>
    </row>
    <row r="2714" spans="1:3" ht="15">
      <c r="A2714" s="113" t="s">
        <v>329</v>
      </c>
      <c r="B2714" s="112" t="s">
        <v>2936</v>
      </c>
      <c r="C2714" s="116" t="s">
        <v>1195</v>
      </c>
    </row>
    <row r="2715" spans="1:3" ht="15">
      <c r="A2715" s="113" t="s">
        <v>329</v>
      </c>
      <c r="B2715" s="112" t="s">
        <v>4293</v>
      </c>
      <c r="C2715" s="116" t="s">
        <v>1195</v>
      </c>
    </row>
    <row r="2716" spans="1:3" ht="15">
      <c r="A2716" s="113" t="s">
        <v>334</v>
      </c>
      <c r="B2716" s="112" t="s">
        <v>4294</v>
      </c>
      <c r="C2716" s="116" t="s">
        <v>1203</v>
      </c>
    </row>
    <row r="2717" spans="1:3" ht="15">
      <c r="A2717" s="113" t="s">
        <v>334</v>
      </c>
      <c r="B2717" s="112" t="s">
        <v>4295</v>
      </c>
      <c r="C2717" s="116" t="s">
        <v>1203</v>
      </c>
    </row>
    <row r="2718" spans="1:3" ht="15">
      <c r="A2718" s="113" t="s">
        <v>334</v>
      </c>
      <c r="B2718" s="112" t="s">
        <v>2641</v>
      </c>
      <c r="C2718" s="116" t="s">
        <v>1203</v>
      </c>
    </row>
    <row r="2719" spans="1:3" ht="15">
      <c r="A2719" s="113" t="s">
        <v>334</v>
      </c>
      <c r="B2719" s="112" t="s">
        <v>4296</v>
      </c>
      <c r="C2719" s="116" t="s">
        <v>1203</v>
      </c>
    </row>
    <row r="2720" spans="1:3" ht="15">
      <c r="A2720" s="113" t="s">
        <v>334</v>
      </c>
      <c r="B2720" s="112" t="s">
        <v>2821</v>
      </c>
      <c r="C2720" s="116" t="s">
        <v>1203</v>
      </c>
    </row>
    <row r="2721" spans="1:3" ht="15">
      <c r="A2721" s="113" t="s">
        <v>334</v>
      </c>
      <c r="B2721" s="112" t="s">
        <v>2965</v>
      </c>
      <c r="C2721" s="116" t="s">
        <v>1203</v>
      </c>
    </row>
    <row r="2722" spans="1:3" ht="15">
      <c r="A2722" s="113" t="s">
        <v>334</v>
      </c>
      <c r="B2722" s="112" t="s">
        <v>2725</v>
      </c>
      <c r="C2722" s="116" t="s">
        <v>1203</v>
      </c>
    </row>
    <row r="2723" spans="1:3" ht="15">
      <c r="A2723" s="113" t="s">
        <v>334</v>
      </c>
      <c r="B2723" s="112" t="s">
        <v>2691</v>
      </c>
      <c r="C2723" s="116" t="s">
        <v>1203</v>
      </c>
    </row>
    <row r="2724" spans="1:3" ht="15">
      <c r="A2724" s="113" t="s">
        <v>334</v>
      </c>
      <c r="B2724" s="112" t="s">
        <v>4297</v>
      </c>
      <c r="C2724" s="116" t="s">
        <v>1203</v>
      </c>
    </row>
    <row r="2725" spans="1:3" ht="15">
      <c r="A2725" s="113" t="s">
        <v>334</v>
      </c>
      <c r="B2725" s="112" t="s">
        <v>4298</v>
      </c>
      <c r="C2725" s="116" t="s">
        <v>1203</v>
      </c>
    </row>
    <row r="2726" spans="1:3" ht="15">
      <c r="A2726" s="113" t="s">
        <v>334</v>
      </c>
      <c r="B2726" s="112" t="s">
        <v>2378</v>
      </c>
      <c r="C2726" s="116" t="s">
        <v>1203</v>
      </c>
    </row>
    <row r="2727" spans="1:3" ht="15">
      <c r="A2727" s="113" t="s">
        <v>334</v>
      </c>
      <c r="B2727" s="112" t="s">
        <v>4299</v>
      </c>
      <c r="C2727" s="116" t="s">
        <v>1203</v>
      </c>
    </row>
    <row r="2728" spans="1:3" ht="15">
      <c r="A2728" s="113" t="s">
        <v>334</v>
      </c>
      <c r="B2728" s="112" t="s">
        <v>2740</v>
      </c>
      <c r="C2728" s="116" t="s">
        <v>1203</v>
      </c>
    </row>
    <row r="2729" spans="1:3" ht="15">
      <c r="A2729" s="113" t="s">
        <v>334</v>
      </c>
      <c r="B2729" s="112" t="s">
        <v>2758</v>
      </c>
      <c r="C2729" s="116" t="s">
        <v>1203</v>
      </c>
    </row>
    <row r="2730" spans="1:3" ht="15">
      <c r="A2730" s="113" t="s">
        <v>334</v>
      </c>
      <c r="B2730" s="112" t="s">
        <v>4300</v>
      </c>
      <c r="C2730" s="116" t="s">
        <v>1203</v>
      </c>
    </row>
    <row r="2731" spans="1:3" ht="15">
      <c r="A2731" s="113" t="s">
        <v>334</v>
      </c>
      <c r="B2731" s="112" t="s">
        <v>2962</v>
      </c>
      <c r="C2731" s="116" t="s">
        <v>1203</v>
      </c>
    </row>
    <row r="2732" spans="1:3" ht="15">
      <c r="A2732" s="113" t="s">
        <v>334</v>
      </c>
      <c r="B2732" s="112" t="s">
        <v>4301</v>
      </c>
      <c r="C2732" s="116" t="s">
        <v>1203</v>
      </c>
    </row>
    <row r="2733" spans="1:3" ht="15">
      <c r="A2733" s="113" t="s">
        <v>334</v>
      </c>
      <c r="B2733" s="112" t="s">
        <v>2822</v>
      </c>
      <c r="C2733" s="116" t="s">
        <v>1203</v>
      </c>
    </row>
    <row r="2734" spans="1:3" ht="15">
      <c r="A2734" s="113" t="s">
        <v>334</v>
      </c>
      <c r="B2734" s="112" t="s">
        <v>2793</v>
      </c>
      <c r="C2734" s="116" t="s">
        <v>1203</v>
      </c>
    </row>
    <row r="2735" spans="1:3" ht="15">
      <c r="A2735" s="113" t="s">
        <v>334</v>
      </c>
      <c r="B2735" s="112" t="s">
        <v>4302</v>
      </c>
      <c r="C2735" s="116" t="s">
        <v>1203</v>
      </c>
    </row>
    <row r="2736" spans="1:3" ht="15">
      <c r="A2736" s="113" t="s">
        <v>334</v>
      </c>
      <c r="B2736" s="112" t="s">
        <v>4303</v>
      </c>
      <c r="C2736" s="116" t="s">
        <v>1203</v>
      </c>
    </row>
    <row r="2737" spans="1:3" ht="15">
      <c r="A2737" s="113" t="s">
        <v>334</v>
      </c>
      <c r="B2737" s="112" t="s">
        <v>4304</v>
      </c>
      <c r="C2737" s="116" t="s">
        <v>1203</v>
      </c>
    </row>
    <row r="2738" spans="1:3" ht="15">
      <c r="A2738" s="113" t="s">
        <v>334</v>
      </c>
      <c r="B2738" s="112" t="s">
        <v>3019</v>
      </c>
      <c r="C2738" s="116" t="s">
        <v>1203</v>
      </c>
    </row>
    <row r="2739" spans="1:3" ht="15">
      <c r="A2739" s="113" t="s">
        <v>334</v>
      </c>
      <c r="B2739" s="112" t="s">
        <v>4305</v>
      </c>
      <c r="C2739" s="116" t="s">
        <v>1203</v>
      </c>
    </row>
    <row r="2740" spans="1:3" ht="15">
      <c r="A2740" s="113" t="s">
        <v>334</v>
      </c>
      <c r="B2740" s="112" t="s">
        <v>4306</v>
      </c>
      <c r="C2740" s="116" t="s">
        <v>1203</v>
      </c>
    </row>
    <row r="2741" spans="1:3" ht="15">
      <c r="A2741" s="113" t="s">
        <v>334</v>
      </c>
      <c r="B2741" s="112" t="s">
        <v>2699</v>
      </c>
      <c r="C2741" s="116" t="s">
        <v>1203</v>
      </c>
    </row>
    <row r="2742" spans="1:3" ht="15">
      <c r="A2742" s="113" t="s">
        <v>334</v>
      </c>
      <c r="B2742" s="112" t="s">
        <v>4307</v>
      </c>
      <c r="C2742" s="116" t="s">
        <v>1203</v>
      </c>
    </row>
    <row r="2743" spans="1:3" ht="15">
      <c r="A2743" s="113" t="s">
        <v>334</v>
      </c>
      <c r="B2743" s="112" t="s">
        <v>4308</v>
      </c>
      <c r="C2743" s="116" t="s">
        <v>1203</v>
      </c>
    </row>
    <row r="2744" spans="1:3" ht="15">
      <c r="A2744" s="113" t="s">
        <v>334</v>
      </c>
      <c r="B2744" s="112" t="s">
        <v>2913</v>
      </c>
      <c r="C2744" s="116" t="s">
        <v>1203</v>
      </c>
    </row>
    <row r="2745" spans="1:3" ht="15">
      <c r="A2745" s="113" t="s">
        <v>334</v>
      </c>
      <c r="B2745" s="112" t="s">
        <v>4309</v>
      </c>
      <c r="C2745" s="116" t="s">
        <v>1203</v>
      </c>
    </row>
    <row r="2746" spans="1:3" ht="15">
      <c r="A2746" s="113" t="s">
        <v>334</v>
      </c>
      <c r="B2746" s="112" t="s">
        <v>2376</v>
      </c>
      <c r="C2746" s="116" t="s">
        <v>1203</v>
      </c>
    </row>
    <row r="2747" spans="1:3" ht="15">
      <c r="A2747" s="113" t="s">
        <v>334</v>
      </c>
      <c r="B2747" s="112" t="s">
        <v>2819</v>
      </c>
      <c r="C2747" s="116" t="s">
        <v>1203</v>
      </c>
    </row>
    <row r="2748" spans="1:3" ht="15">
      <c r="A2748" s="113" t="s">
        <v>334</v>
      </c>
      <c r="B2748" s="112" t="s">
        <v>2655</v>
      </c>
      <c r="C2748" s="116" t="s">
        <v>1203</v>
      </c>
    </row>
    <row r="2749" spans="1:3" ht="15">
      <c r="A2749" s="113" t="s">
        <v>334</v>
      </c>
      <c r="B2749" s="112" t="s">
        <v>2783</v>
      </c>
      <c r="C2749" s="116" t="s">
        <v>1203</v>
      </c>
    </row>
    <row r="2750" spans="1:3" ht="15">
      <c r="A2750" s="113" t="s">
        <v>334</v>
      </c>
      <c r="B2750" s="112" t="s">
        <v>4310</v>
      </c>
      <c r="C2750" s="116" t="s">
        <v>1203</v>
      </c>
    </row>
    <row r="2751" spans="1:3" ht="15">
      <c r="A2751" s="113" t="s">
        <v>334</v>
      </c>
      <c r="B2751" s="112" t="s">
        <v>4311</v>
      </c>
      <c r="C2751" s="116" t="s">
        <v>1203</v>
      </c>
    </row>
    <row r="2752" spans="1:3" ht="15">
      <c r="A2752" s="113" t="s">
        <v>334</v>
      </c>
      <c r="B2752" s="112" t="s">
        <v>4312</v>
      </c>
      <c r="C2752" s="116" t="s">
        <v>1203</v>
      </c>
    </row>
    <row r="2753" spans="1:3" ht="15">
      <c r="A2753" s="113" t="s">
        <v>334</v>
      </c>
      <c r="B2753" s="112" t="s">
        <v>4313</v>
      </c>
      <c r="C2753" s="116" t="s">
        <v>1203</v>
      </c>
    </row>
    <row r="2754" spans="1:3" ht="15">
      <c r="A2754" s="113" t="s">
        <v>334</v>
      </c>
      <c r="B2754" s="112" t="s">
        <v>2669</v>
      </c>
      <c r="C2754" s="116" t="s">
        <v>1203</v>
      </c>
    </row>
    <row r="2755" spans="1:3" ht="15">
      <c r="A2755" s="113" t="s">
        <v>237</v>
      </c>
      <c r="B2755" s="112" t="s">
        <v>2374</v>
      </c>
      <c r="C2755" s="116" t="s">
        <v>1046</v>
      </c>
    </row>
    <row r="2756" spans="1:3" ht="15">
      <c r="A2756" s="113" t="s">
        <v>237</v>
      </c>
      <c r="B2756" s="112" t="s">
        <v>2373</v>
      </c>
      <c r="C2756" s="116" t="s">
        <v>1046</v>
      </c>
    </row>
    <row r="2757" spans="1:3" ht="15">
      <c r="A2757" s="113" t="s">
        <v>237</v>
      </c>
      <c r="B2757" s="112" t="s">
        <v>681</v>
      </c>
      <c r="C2757" s="116" t="s">
        <v>1046</v>
      </c>
    </row>
    <row r="2758" spans="1:3" ht="15">
      <c r="A2758" s="113" t="s">
        <v>237</v>
      </c>
      <c r="B2758" s="112" t="s">
        <v>354</v>
      </c>
      <c r="C2758" s="116" t="s">
        <v>1046</v>
      </c>
    </row>
    <row r="2759" spans="1:3" ht="15">
      <c r="A2759" s="113" t="s">
        <v>226</v>
      </c>
      <c r="B2759" s="112" t="s">
        <v>2670</v>
      </c>
      <c r="C2759" s="116" t="s">
        <v>1030</v>
      </c>
    </row>
    <row r="2760" spans="1:3" ht="15">
      <c r="A2760" s="113" t="s">
        <v>226</v>
      </c>
      <c r="B2760" s="112" t="s">
        <v>2374</v>
      </c>
      <c r="C2760" s="116" t="s">
        <v>1030</v>
      </c>
    </row>
    <row r="2761" spans="1:3" ht="15">
      <c r="A2761" s="113" t="s">
        <v>226</v>
      </c>
      <c r="B2761" s="112" t="s">
        <v>2373</v>
      </c>
      <c r="C2761" s="116" t="s">
        <v>1030</v>
      </c>
    </row>
    <row r="2762" spans="1:3" ht="15">
      <c r="A2762" s="113" t="s">
        <v>226</v>
      </c>
      <c r="B2762" s="112" t="s">
        <v>681</v>
      </c>
      <c r="C2762" s="116" t="s">
        <v>1030</v>
      </c>
    </row>
    <row r="2763" spans="1:3" ht="15">
      <c r="A2763" s="113" t="s">
        <v>226</v>
      </c>
      <c r="B2763" s="112" t="s">
        <v>338</v>
      </c>
      <c r="C2763" s="116" t="s">
        <v>1030</v>
      </c>
    </row>
    <row r="2764" spans="1:3" ht="15">
      <c r="A2764" s="113" t="s">
        <v>335</v>
      </c>
      <c r="B2764" s="112" t="s">
        <v>4314</v>
      </c>
      <c r="C2764" s="116" t="s">
        <v>1205</v>
      </c>
    </row>
    <row r="2765" spans="1:3" ht="15">
      <c r="A2765" s="113" t="s">
        <v>335</v>
      </c>
      <c r="B2765" s="112" t="s">
        <v>4315</v>
      </c>
      <c r="C2765" s="116" t="s">
        <v>1205</v>
      </c>
    </row>
    <row r="2766" spans="1:3" ht="15">
      <c r="A2766" s="113" t="s">
        <v>335</v>
      </c>
      <c r="B2766" s="112" t="s">
        <v>2913</v>
      </c>
      <c r="C2766" s="116" t="s">
        <v>1205</v>
      </c>
    </row>
    <row r="2767" spans="1:3" ht="15">
      <c r="A2767" s="113" t="s">
        <v>335</v>
      </c>
      <c r="B2767" s="112" t="s">
        <v>4316</v>
      </c>
      <c r="C2767" s="116" t="s">
        <v>1205</v>
      </c>
    </row>
    <row r="2768" spans="1:3" ht="15">
      <c r="A2768" s="113" t="s">
        <v>335</v>
      </c>
      <c r="B2768" s="112" t="s">
        <v>4317</v>
      </c>
      <c r="C2768" s="116" t="s">
        <v>1205</v>
      </c>
    </row>
    <row r="2769" spans="1:3" ht="15">
      <c r="A2769" s="113" t="s">
        <v>335</v>
      </c>
      <c r="B2769" s="112" t="s">
        <v>4318</v>
      </c>
      <c r="C2769" s="116" t="s">
        <v>1205</v>
      </c>
    </row>
    <row r="2770" spans="1:3" ht="15">
      <c r="A2770" s="113" t="s">
        <v>335</v>
      </c>
      <c r="B2770" s="112" t="s">
        <v>2655</v>
      </c>
      <c r="C2770" s="116" t="s">
        <v>1205</v>
      </c>
    </row>
    <row r="2771" spans="1:3" ht="15">
      <c r="A2771" s="113" t="s">
        <v>335</v>
      </c>
      <c r="B2771" s="112" t="s">
        <v>2640</v>
      </c>
      <c r="C2771" s="116" t="s">
        <v>1205</v>
      </c>
    </row>
    <row r="2772" spans="1:3" ht="15">
      <c r="A2772" s="113" t="s">
        <v>335</v>
      </c>
      <c r="B2772" s="112" t="s">
        <v>2772</v>
      </c>
      <c r="C2772" s="116" t="s">
        <v>1205</v>
      </c>
    </row>
    <row r="2773" spans="1:3" ht="15">
      <c r="A2773" s="113" t="s">
        <v>335</v>
      </c>
      <c r="B2773" s="112" t="s">
        <v>2716</v>
      </c>
      <c r="C2773" s="116" t="s">
        <v>1205</v>
      </c>
    </row>
    <row r="2774" spans="1:3" ht="15">
      <c r="A2774" s="113" t="s">
        <v>245</v>
      </c>
      <c r="B2774" s="112" t="s">
        <v>682</v>
      </c>
      <c r="C2774" s="116" t="s">
        <v>1061</v>
      </c>
    </row>
    <row r="2775" spans="1:3" ht="15">
      <c r="A2775" s="113" t="s">
        <v>245</v>
      </c>
      <c r="B2775" s="112" t="s">
        <v>4319</v>
      </c>
      <c r="C2775" s="116" t="s">
        <v>1061</v>
      </c>
    </row>
    <row r="2776" spans="1:3" ht="15">
      <c r="A2776" s="113" t="s">
        <v>245</v>
      </c>
      <c r="B2776" s="112" t="s">
        <v>2668</v>
      </c>
      <c r="C2776" s="116" t="s">
        <v>1061</v>
      </c>
    </row>
    <row r="2777" spans="1:3" ht="15">
      <c r="A2777" s="113" t="s">
        <v>245</v>
      </c>
      <c r="B2777" s="112" t="s">
        <v>4320</v>
      </c>
      <c r="C2777" s="116" t="s">
        <v>1061</v>
      </c>
    </row>
    <row r="2778" spans="1:3" ht="15">
      <c r="A2778" s="113" t="s">
        <v>245</v>
      </c>
      <c r="B2778" s="112" t="s">
        <v>2812</v>
      </c>
      <c r="C2778" s="116" t="s">
        <v>1061</v>
      </c>
    </row>
    <row r="2779" spans="1:3" ht="15">
      <c r="A2779" s="113" t="s">
        <v>245</v>
      </c>
      <c r="B2779" s="112" t="s">
        <v>2662</v>
      </c>
      <c r="C2779" s="116" t="s">
        <v>1061</v>
      </c>
    </row>
    <row r="2780" spans="1:3" ht="15">
      <c r="A2780" s="113" t="s">
        <v>245</v>
      </c>
      <c r="B2780" s="112" t="s">
        <v>2934</v>
      </c>
      <c r="C2780" s="116" t="s">
        <v>1061</v>
      </c>
    </row>
    <row r="2781" spans="1:3" ht="15">
      <c r="A2781" s="113" t="s">
        <v>245</v>
      </c>
      <c r="B2781" s="112" t="s">
        <v>2728</v>
      </c>
      <c r="C2781" s="116" t="s">
        <v>1061</v>
      </c>
    </row>
    <row r="2782" spans="1:3" ht="15">
      <c r="A2782" s="113" t="s">
        <v>245</v>
      </c>
      <c r="B2782" s="112" t="s">
        <v>2842</v>
      </c>
      <c r="C2782" s="116" t="s">
        <v>1061</v>
      </c>
    </row>
    <row r="2783" spans="1:3" ht="15">
      <c r="A2783" s="113" t="s">
        <v>245</v>
      </c>
      <c r="B2783" s="112" t="s">
        <v>341</v>
      </c>
      <c r="C2783" s="116" t="s">
        <v>1061</v>
      </c>
    </row>
    <row r="2784" spans="1:3" ht="15">
      <c r="A2784" s="113" t="s">
        <v>295</v>
      </c>
      <c r="B2784" s="112" t="s">
        <v>682</v>
      </c>
      <c r="C2784" s="116" t="s">
        <v>1149</v>
      </c>
    </row>
    <row r="2785" spans="1:3" ht="15">
      <c r="A2785" s="113" t="s">
        <v>295</v>
      </c>
      <c r="B2785" s="112" t="s">
        <v>2662</v>
      </c>
      <c r="C2785" s="116" t="s">
        <v>1149</v>
      </c>
    </row>
    <row r="2786" spans="1:3" ht="15">
      <c r="A2786" s="113" t="s">
        <v>295</v>
      </c>
      <c r="B2786" s="112" t="s">
        <v>2655</v>
      </c>
      <c r="C2786" s="116" t="s">
        <v>1149</v>
      </c>
    </row>
    <row r="2787" spans="1:3" ht="15">
      <c r="A2787" s="113" t="s">
        <v>295</v>
      </c>
      <c r="B2787" s="112" t="s">
        <v>4321</v>
      </c>
      <c r="C2787" s="116" t="s">
        <v>1149</v>
      </c>
    </row>
    <row r="2788" spans="1:3" ht="15">
      <c r="A2788" s="113" t="s">
        <v>295</v>
      </c>
      <c r="B2788" s="112" t="s">
        <v>4322</v>
      </c>
      <c r="C2788" s="116" t="s">
        <v>1149</v>
      </c>
    </row>
    <row r="2789" spans="1:3" ht="15">
      <c r="A2789" s="113" t="s">
        <v>295</v>
      </c>
      <c r="B2789" s="112" t="s">
        <v>2672</v>
      </c>
      <c r="C2789" s="116" t="s">
        <v>1149</v>
      </c>
    </row>
    <row r="2790" spans="1:3" ht="15">
      <c r="A2790" s="113" t="s">
        <v>295</v>
      </c>
      <c r="B2790" s="112" t="s">
        <v>2374</v>
      </c>
      <c r="C2790" s="116" t="s">
        <v>1149</v>
      </c>
    </row>
    <row r="2791" spans="1:3" ht="15">
      <c r="A2791" s="113" t="s">
        <v>295</v>
      </c>
      <c r="B2791" s="112" t="s">
        <v>2373</v>
      </c>
      <c r="C2791" s="116" t="s">
        <v>1149</v>
      </c>
    </row>
    <row r="2792" spans="1:3" ht="15">
      <c r="A2792" s="113" t="s">
        <v>295</v>
      </c>
      <c r="B2792" s="112" t="s">
        <v>2380</v>
      </c>
      <c r="C2792" s="116" t="s">
        <v>1149</v>
      </c>
    </row>
    <row r="2793" spans="1:3" ht="15">
      <c r="A2793" s="113" t="s">
        <v>295</v>
      </c>
      <c r="B2793" s="112" t="s">
        <v>463</v>
      </c>
      <c r="C2793" s="116" t="s">
        <v>1149</v>
      </c>
    </row>
    <row r="2794" spans="1:3" ht="15">
      <c r="A2794" s="113" t="s">
        <v>295</v>
      </c>
      <c r="B2794" s="112" t="s">
        <v>464</v>
      </c>
      <c r="C2794" s="116" t="s">
        <v>1149</v>
      </c>
    </row>
    <row r="2795" spans="1:3" ht="15">
      <c r="A2795" s="113" t="s">
        <v>295</v>
      </c>
      <c r="B2795" s="112" t="s">
        <v>3355</v>
      </c>
      <c r="C2795" s="116" t="s">
        <v>1149</v>
      </c>
    </row>
    <row r="2796" spans="1:3" ht="15">
      <c r="A2796" s="113" t="s">
        <v>295</v>
      </c>
      <c r="B2796" s="112" t="s">
        <v>3354</v>
      </c>
      <c r="C2796" s="116" t="s">
        <v>1149</v>
      </c>
    </row>
    <row r="2797" spans="1:3" ht="15">
      <c r="A2797" s="113" t="s">
        <v>238</v>
      </c>
      <c r="B2797" s="112" t="s">
        <v>2374</v>
      </c>
      <c r="C2797" s="116" t="s">
        <v>1047</v>
      </c>
    </row>
    <row r="2798" spans="1:3" ht="15">
      <c r="A2798" s="113" t="s">
        <v>238</v>
      </c>
      <c r="B2798" s="112" t="s">
        <v>2373</v>
      </c>
      <c r="C2798" s="116" t="s">
        <v>1047</v>
      </c>
    </row>
    <row r="2799" spans="1:3" ht="15">
      <c r="A2799" s="113" t="s">
        <v>238</v>
      </c>
      <c r="B2799" s="112" t="s">
        <v>681</v>
      </c>
      <c r="C2799" s="116" t="s">
        <v>1047</v>
      </c>
    </row>
    <row r="2800" spans="1:3" ht="15">
      <c r="A2800" s="113" t="s">
        <v>238</v>
      </c>
      <c r="B2800" s="112" t="s">
        <v>337</v>
      </c>
      <c r="C2800" s="116" t="s">
        <v>1047</v>
      </c>
    </row>
    <row r="2801" spans="1:3" ht="15">
      <c r="A2801" s="113" t="s">
        <v>232</v>
      </c>
      <c r="B2801" s="112" t="s">
        <v>4323</v>
      </c>
      <c r="C2801" s="116" t="s">
        <v>1040</v>
      </c>
    </row>
    <row r="2802" spans="1:3" ht="15">
      <c r="A2802" s="113" t="s">
        <v>232</v>
      </c>
      <c r="B2802" s="112" t="s">
        <v>2944</v>
      </c>
      <c r="C2802" s="116" t="s">
        <v>1040</v>
      </c>
    </row>
    <row r="2803" spans="1:3" ht="15">
      <c r="A2803" s="113" t="s">
        <v>232</v>
      </c>
      <c r="B2803" s="112" t="s">
        <v>2381</v>
      </c>
      <c r="C2803" s="116" t="s">
        <v>1040</v>
      </c>
    </row>
    <row r="2804" spans="1:3" ht="15">
      <c r="A2804" s="113" t="s">
        <v>232</v>
      </c>
      <c r="B2804" s="112" t="s">
        <v>2374</v>
      </c>
      <c r="C2804" s="116" t="s">
        <v>1040</v>
      </c>
    </row>
    <row r="2805" spans="1:3" ht="15">
      <c r="A2805" s="113" t="s">
        <v>232</v>
      </c>
      <c r="B2805" s="112" t="s">
        <v>2373</v>
      </c>
      <c r="C2805" s="116" t="s">
        <v>1040</v>
      </c>
    </row>
    <row r="2806" spans="1:3" ht="15">
      <c r="A2806" s="113" t="s">
        <v>232</v>
      </c>
      <c r="B2806" s="112" t="s">
        <v>2645</v>
      </c>
      <c r="C2806" s="116" t="s">
        <v>1040</v>
      </c>
    </row>
    <row r="2807" spans="1:3" ht="15">
      <c r="A2807" s="113" t="s">
        <v>232</v>
      </c>
      <c r="B2807" s="112" t="s">
        <v>2882</v>
      </c>
      <c r="C2807" s="116" t="s">
        <v>1040</v>
      </c>
    </row>
    <row r="2808" spans="1:3" ht="15">
      <c r="A2808" s="113" t="s">
        <v>232</v>
      </c>
      <c r="B2808" s="112" t="s">
        <v>2975</v>
      </c>
      <c r="C2808" s="116" t="s">
        <v>1040</v>
      </c>
    </row>
    <row r="2809" spans="1:3" ht="15">
      <c r="A2809" s="113" t="s">
        <v>232</v>
      </c>
      <c r="B2809" s="112" t="s">
        <v>4324</v>
      </c>
      <c r="C2809" s="116" t="s">
        <v>1040</v>
      </c>
    </row>
    <row r="2810" spans="1:3" ht="15">
      <c r="A2810" s="113" t="s">
        <v>232</v>
      </c>
      <c r="B2810" s="112" t="s">
        <v>4325</v>
      </c>
      <c r="C2810" s="116" t="s">
        <v>1040</v>
      </c>
    </row>
    <row r="2811" spans="1:3" ht="15">
      <c r="A2811" s="113" t="s">
        <v>232</v>
      </c>
      <c r="B2811" s="112" t="s">
        <v>4326</v>
      </c>
      <c r="C2811" s="116" t="s">
        <v>1040</v>
      </c>
    </row>
    <row r="2812" spans="1:3" ht="15">
      <c r="A2812" s="113" t="s">
        <v>232</v>
      </c>
      <c r="B2812" s="112" t="s">
        <v>681</v>
      </c>
      <c r="C2812" s="116" t="s">
        <v>1040</v>
      </c>
    </row>
    <row r="2813" spans="1:3" ht="15">
      <c r="A2813" s="113" t="s">
        <v>280</v>
      </c>
      <c r="B2813" s="112" t="s">
        <v>2374</v>
      </c>
      <c r="C2813" s="116" t="s">
        <v>1120</v>
      </c>
    </row>
    <row r="2814" spans="1:3" ht="15">
      <c r="A2814" s="113" t="s">
        <v>280</v>
      </c>
      <c r="B2814" s="112" t="s">
        <v>2373</v>
      </c>
      <c r="C2814" s="116" t="s">
        <v>1120</v>
      </c>
    </row>
    <row r="2815" spans="1:3" ht="15">
      <c r="A2815" s="113" t="s">
        <v>280</v>
      </c>
      <c r="B2815" s="112" t="s">
        <v>681</v>
      </c>
      <c r="C2815" s="116" t="s">
        <v>1120</v>
      </c>
    </row>
    <row r="2816" spans="1:3" ht="15">
      <c r="A2816" s="113" t="s">
        <v>280</v>
      </c>
      <c r="B2816" s="112" t="s">
        <v>341</v>
      </c>
      <c r="C2816" s="116" t="s">
        <v>1120</v>
      </c>
    </row>
    <row r="2817" spans="1:3" ht="15">
      <c r="A2817" s="113" t="s">
        <v>284</v>
      </c>
      <c r="B2817" s="112" t="s">
        <v>2374</v>
      </c>
      <c r="C2817" s="116" t="s">
        <v>1133</v>
      </c>
    </row>
    <row r="2818" spans="1:3" ht="15">
      <c r="A2818" s="113" t="s">
        <v>284</v>
      </c>
      <c r="B2818" s="112" t="s">
        <v>2373</v>
      </c>
      <c r="C2818" s="116" t="s">
        <v>1133</v>
      </c>
    </row>
    <row r="2819" spans="1:3" ht="15">
      <c r="A2819" s="113" t="s">
        <v>284</v>
      </c>
      <c r="B2819" s="112" t="s">
        <v>681</v>
      </c>
      <c r="C2819" s="116" t="s">
        <v>1133</v>
      </c>
    </row>
    <row r="2820" spans="1:3" ht="15">
      <c r="A2820" s="113" t="s">
        <v>284</v>
      </c>
      <c r="B2820" s="112" t="s">
        <v>223</v>
      </c>
      <c r="C2820" s="116" t="s">
        <v>1133</v>
      </c>
    </row>
    <row r="2821" spans="1:3" ht="15">
      <c r="A2821" s="113" t="s">
        <v>279</v>
      </c>
      <c r="B2821" s="112" t="s">
        <v>2381</v>
      </c>
      <c r="C2821" s="116" t="s">
        <v>1119</v>
      </c>
    </row>
    <row r="2822" spans="1:3" ht="15">
      <c r="A2822" s="113" t="s">
        <v>279</v>
      </c>
      <c r="B2822" s="112" t="s">
        <v>3023</v>
      </c>
      <c r="C2822" s="116" t="s">
        <v>1119</v>
      </c>
    </row>
    <row r="2823" spans="1:3" ht="15">
      <c r="A2823" s="113" t="s">
        <v>279</v>
      </c>
      <c r="B2823" s="112" t="s">
        <v>2757</v>
      </c>
      <c r="C2823" s="116" t="s">
        <v>1119</v>
      </c>
    </row>
    <row r="2824" spans="1:3" ht="15">
      <c r="A2824" s="113" t="s">
        <v>279</v>
      </c>
      <c r="B2824" s="112" t="s">
        <v>4327</v>
      </c>
      <c r="C2824" s="116" t="s">
        <v>1119</v>
      </c>
    </row>
    <row r="2825" spans="1:3" ht="15">
      <c r="A2825" s="113" t="s">
        <v>279</v>
      </c>
      <c r="B2825" s="112" t="s">
        <v>2980</v>
      </c>
      <c r="C2825" s="116" t="s">
        <v>1119</v>
      </c>
    </row>
    <row r="2826" spans="1:3" ht="15">
      <c r="A2826" s="113" t="s">
        <v>279</v>
      </c>
      <c r="B2826" s="112" t="s">
        <v>4328</v>
      </c>
      <c r="C2826" s="116" t="s">
        <v>1119</v>
      </c>
    </row>
    <row r="2827" spans="1:3" ht="15">
      <c r="A2827" s="113" t="s">
        <v>279</v>
      </c>
      <c r="B2827" s="112" t="s">
        <v>2863</v>
      </c>
      <c r="C2827" s="116" t="s">
        <v>1119</v>
      </c>
    </row>
    <row r="2828" spans="1:3" ht="15">
      <c r="A2828" s="113" t="s">
        <v>279</v>
      </c>
      <c r="B2828" s="112" t="s">
        <v>2374</v>
      </c>
      <c r="C2828" s="116" t="s">
        <v>1119</v>
      </c>
    </row>
    <row r="2829" spans="1:3" ht="15">
      <c r="A2829" s="113" t="s">
        <v>279</v>
      </c>
      <c r="B2829" s="112" t="s">
        <v>2373</v>
      </c>
      <c r="C2829" s="116" t="s">
        <v>1119</v>
      </c>
    </row>
    <row r="2830" spans="1:3" ht="15">
      <c r="A2830" s="113" t="s">
        <v>279</v>
      </c>
      <c r="B2830" s="112" t="s">
        <v>3020</v>
      </c>
      <c r="C2830" s="116" t="s">
        <v>1119</v>
      </c>
    </row>
    <row r="2831" spans="1:3" ht="15">
      <c r="A2831" s="113" t="s">
        <v>279</v>
      </c>
      <c r="B2831" s="112" t="s">
        <v>2769</v>
      </c>
      <c r="C2831" s="116" t="s">
        <v>1119</v>
      </c>
    </row>
    <row r="2832" spans="1:3" ht="15">
      <c r="A2832" s="113" t="s">
        <v>279</v>
      </c>
      <c r="B2832" s="112" t="s">
        <v>4329</v>
      </c>
      <c r="C2832" s="116" t="s">
        <v>1119</v>
      </c>
    </row>
    <row r="2833" spans="1:3" ht="15">
      <c r="A2833" s="113" t="s">
        <v>279</v>
      </c>
      <c r="B2833" s="112" t="s">
        <v>404</v>
      </c>
      <c r="C2833" s="116" t="s">
        <v>1119</v>
      </c>
    </row>
    <row r="2834" spans="1:3" ht="15">
      <c r="A2834" s="113" t="s">
        <v>312</v>
      </c>
      <c r="B2834" s="112" t="s">
        <v>3266</v>
      </c>
      <c r="C2834" s="116" t="s">
        <v>1169</v>
      </c>
    </row>
    <row r="2835" spans="1:3" ht="15">
      <c r="A2835" s="113" t="s">
        <v>312</v>
      </c>
      <c r="B2835" s="112" t="s">
        <v>682</v>
      </c>
      <c r="C2835" s="116" t="s">
        <v>1169</v>
      </c>
    </row>
    <row r="2836" spans="1:3" ht="15">
      <c r="A2836" s="113" t="s">
        <v>312</v>
      </c>
      <c r="B2836" s="112" t="s">
        <v>2381</v>
      </c>
      <c r="C2836" s="116" t="s">
        <v>1169</v>
      </c>
    </row>
    <row r="2837" spans="1:3" ht="15">
      <c r="A2837" s="113" t="s">
        <v>312</v>
      </c>
      <c r="B2837" s="112" t="s">
        <v>4330</v>
      </c>
      <c r="C2837" s="116" t="s">
        <v>1169</v>
      </c>
    </row>
    <row r="2838" spans="1:3" ht="15">
      <c r="A2838" s="113" t="s">
        <v>312</v>
      </c>
      <c r="B2838" s="112" t="s">
        <v>2376</v>
      </c>
      <c r="C2838" s="116" t="s">
        <v>1169</v>
      </c>
    </row>
    <row r="2839" spans="1:3" ht="15">
      <c r="A2839" s="113" t="s">
        <v>312</v>
      </c>
      <c r="B2839" s="112" t="s">
        <v>2739</v>
      </c>
      <c r="C2839" s="116" t="s">
        <v>1169</v>
      </c>
    </row>
    <row r="2840" spans="1:3" ht="15">
      <c r="A2840" s="113" t="s">
        <v>312</v>
      </c>
      <c r="B2840" s="112" t="s">
        <v>2644</v>
      </c>
      <c r="C2840" s="116" t="s">
        <v>1169</v>
      </c>
    </row>
    <row r="2841" spans="1:3" ht="15">
      <c r="A2841" s="113" t="s">
        <v>312</v>
      </c>
      <c r="B2841" s="112" t="s">
        <v>2655</v>
      </c>
      <c r="C2841" s="116" t="s">
        <v>1169</v>
      </c>
    </row>
    <row r="2842" spans="1:3" ht="15">
      <c r="A2842" s="113" t="s">
        <v>312</v>
      </c>
      <c r="B2842" s="112" t="s">
        <v>4331</v>
      </c>
      <c r="C2842" s="116" t="s">
        <v>1169</v>
      </c>
    </row>
    <row r="2843" spans="1:3" ht="15">
      <c r="A2843" s="113" t="s">
        <v>312</v>
      </c>
      <c r="B2843" s="112" t="s">
        <v>4332</v>
      </c>
      <c r="C2843" s="116" t="s">
        <v>1169</v>
      </c>
    </row>
    <row r="2844" spans="1:3" ht="15">
      <c r="A2844" s="113" t="s">
        <v>312</v>
      </c>
      <c r="B2844" s="112">
        <v>1998</v>
      </c>
      <c r="C2844" s="116" t="s">
        <v>1169</v>
      </c>
    </row>
    <row r="2845" spans="1:3" ht="15">
      <c r="A2845" s="113" t="s">
        <v>312</v>
      </c>
      <c r="B2845" s="112" t="s">
        <v>4333</v>
      </c>
      <c r="C2845" s="116" t="s">
        <v>1169</v>
      </c>
    </row>
    <row r="2846" spans="1:3" ht="15">
      <c r="A2846" s="113" t="s">
        <v>312</v>
      </c>
      <c r="B2846" s="112" t="s">
        <v>2920</v>
      </c>
      <c r="C2846" s="116" t="s">
        <v>1169</v>
      </c>
    </row>
    <row r="2847" spans="1:3" ht="15">
      <c r="A2847" s="113" t="s">
        <v>312</v>
      </c>
      <c r="B2847" s="112" t="s">
        <v>4334</v>
      </c>
      <c r="C2847" s="116" t="s">
        <v>1169</v>
      </c>
    </row>
    <row r="2848" spans="1:3" ht="15">
      <c r="A2848" s="113" t="s">
        <v>312</v>
      </c>
      <c r="B2848" s="112" t="s">
        <v>4335</v>
      </c>
      <c r="C2848" s="116" t="s">
        <v>1169</v>
      </c>
    </row>
    <row r="2849" spans="1:3" ht="15">
      <c r="A2849" s="113" t="s">
        <v>312</v>
      </c>
      <c r="B2849" s="112" t="s">
        <v>4336</v>
      </c>
      <c r="C2849" s="116" t="s">
        <v>1169</v>
      </c>
    </row>
    <row r="2850" spans="1:3" ht="15">
      <c r="A2850" s="113" t="s">
        <v>312</v>
      </c>
      <c r="B2850" s="112" t="s">
        <v>2689</v>
      </c>
      <c r="C2850" s="116" t="s">
        <v>1169</v>
      </c>
    </row>
    <row r="2851" spans="1:3" ht="15">
      <c r="A2851" s="113" t="s">
        <v>312</v>
      </c>
      <c r="B2851" s="112" t="s">
        <v>4337</v>
      </c>
      <c r="C2851" s="116" t="s">
        <v>1169</v>
      </c>
    </row>
    <row r="2852" spans="1:3" ht="15">
      <c r="A2852" s="113" t="s">
        <v>312</v>
      </c>
      <c r="B2852" s="112" t="s">
        <v>4338</v>
      </c>
      <c r="C2852" s="116" t="s">
        <v>1169</v>
      </c>
    </row>
    <row r="2853" spans="1:3" ht="15">
      <c r="A2853" s="113" t="s">
        <v>312</v>
      </c>
      <c r="B2853" s="112" t="s">
        <v>4339</v>
      </c>
      <c r="C2853" s="116" t="s">
        <v>1169</v>
      </c>
    </row>
    <row r="2854" spans="1:3" ht="15">
      <c r="A2854" s="113" t="s">
        <v>312</v>
      </c>
      <c r="B2854" s="112" t="s">
        <v>2715</v>
      </c>
      <c r="C2854" s="116" t="s">
        <v>1169</v>
      </c>
    </row>
    <row r="2855" spans="1:3" ht="15">
      <c r="A2855" s="113" t="s">
        <v>312</v>
      </c>
      <c r="B2855" s="112" t="s">
        <v>4340</v>
      </c>
      <c r="C2855" s="116" t="s">
        <v>1169</v>
      </c>
    </row>
    <row r="2856" spans="1:3" ht="15">
      <c r="A2856" s="113" t="s">
        <v>312</v>
      </c>
      <c r="B2856" s="112" t="s">
        <v>4341</v>
      </c>
      <c r="C2856" s="116" t="s">
        <v>1169</v>
      </c>
    </row>
    <row r="2857" spans="1:3" ht="15">
      <c r="A2857" s="113" t="s">
        <v>312</v>
      </c>
      <c r="B2857" s="112" t="s">
        <v>2693</v>
      </c>
      <c r="C2857" s="116" t="s">
        <v>1169</v>
      </c>
    </row>
    <row r="2858" spans="1:3" ht="15">
      <c r="A2858" s="113" t="s">
        <v>312</v>
      </c>
      <c r="B2858" s="112" t="s">
        <v>4342</v>
      </c>
      <c r="C2858" s="116" t="s">
        <v>1169</v>
      </c>
    </row>
    <row r="2859" spans="1:3" ht="15">
      <c r="A2859" s="113" t="s">
        <v>312</v>
      </c>
      <c r="B2859" s="112" t="s">
        <v>2700</v>
      </c>
      <c r="C2859" s="116" t="s">
        <v>1169</v>
      </c>
    </row>
    <row r="2860" spans="1:3" ht="15">
      <c r="A2860" s="113" t="s">
        <v>312</v>
      </c>
      <c r="B2860" s="112" t="s">
        <v>2377</v>
      </c>
      <c r="C2860" s="116" t="s">
        <v>1169</v>
      </c>
    </row>
    <row r="2861" spans="1:3" ht="15">
      <c r="A2861" s="113" t="s">
        <v>312</v>
      </c>
      <c r="B2861" s="112" t="s">
        <v>4343</v>
      </c>
      <c r="C2861" s="116" t="s">
        <v>1169</v>
      </c>
    </row>
    <row r="2862" spans="1:3" ht="15">
      <c r="A2862" s="113" t="s">
        <v>312</v>
      </c>
      <c r="B2862" s="112" t="s">
        <v>4344</v>
      </c>
      <c r="C2862" s="116" t="s">
        <v>1169</v>
      </c>
    </row>
    <row r="2863" spans="1:3" ht="15">
      <c r="A2863" s="113" t="s">
        <v>312</v>
      </c>
      <c r="B2863" s="112">
        <v>98</v>
      </c>
      <c r="C2863" s="116" t="s">
        <v>1169</v>
      </c>
    </row>
    <row r="2864" spans="1:3" ht="15">
      <c r="A2864" s="113" t="s">
        <v>312</v>
      </c>
      <c r="B2864" s="112" t="s">
        <v>2998</v>
      </c>
      <c r="C2864" s="116" t="s">
        <v>1169</v>
      </c>
    </row>
    <row r="2865" spans="1:3" ht="15">
      <c r="A2865" s="113" t="s">
        <v>312</v>
      </c>
      <c r="B2865" s="112" t="s">
        <v>2692</v>
      </c>
      <c r="C2865" s="116" t="s">
        <v>1169</v>
      </c>
    </row>
    <row r="2866" spans="1:3" ht="15">
      <c r="A2866" s="113" t="s">
        <v>312</v>
      </c>
      <c r="B2866" s="112" t="s">
        <v>2379</v>
      </c>
      <c r="C2866" s="116" t="s">
        <v>1169</v>
      </c>
    </row>
    <row r="2867" spans="1:3" ht="15">
      <c r="A2867" s="113" t="s">
        <v>284</v>
      </c>
      <c r="B2867" s="112" t="s">
        <v>2374</v>
      </c>
      <c r="C2867" s="116" t="s">
        <v>1134</v>
      </c>
    </row>
    <row r="2868" spans="1:3" ht="15">
      <c r="A2868" s="113" t="s">
        <v>284</v>
      </c>
      <c r="B2868" s="112" t="s">
        <v>2373</v>
      </c>
      <c r="C2868" s="116" t="s">
        <v>1134</v>
      </c>
    </row>
    <row r="2869" spans="1:3" ht="15">
      <c r="A2869" s="113" t="s">
        <v>284</v>
      </c>
      <c r="B2869" s="112" t="s">
        <v>681</v>
      </c>
      <c r="C2869" s="116" t="s">
        <v>1134</v>
      </c>
    </row>
    <row r="2870" spans="1:3" ht="15">
      <c r="A2870" s="113" t="s">
        <v>284</v>
      </c>
      <c r="B2870" s="112" t="s">
        <v>422</v>
      </c>
      <c r="C2870" s="116" t="s">
        <v>1134</v>
      </c>
    </row>
    <row r="2871" spans="1:3" ht="15">
      <c r="A2871" s="113" t="s">
        <v>284</v>
      </c>
      <c r="B2871" s="112" t="s">
        <v>2801</v>
      </c>
      <c r="C2871" s="116" t="s">
        <v>1134</v>
      </c>
    </row>
    <row r="2872" spans="1:3" ht="15">
      <c r="A2872" s="113" t="s">
        <v>284</v>
      </c>
      <c r="B2872" s="112" t="s">
        <v>2639</v>
      </c>
      <c r="C2872" s="116" t="s">
        <v>1134</v>
      </c>
    </row>
    <row r="2873" spans="1:3" ht="15">
      <c r="A2873" s="113" t="s">
        <v>284</v>
      </c>
      <c r="B2873" s="112" t="s">
        <v>423</v>
      </c>
      <c r="C2873" s="116" t="s">
        <v>1134</v>
      </c>
    </row>
    <row r="2874" spans="1:3" ht="15">
      <c r="A2874" s="113" t="s">
        <v>275</v>
      </c>
      <c r="B2874" s="112" t="s">
        <v>682</v>
      </c>
      <c r="C2874" s="116" t="s">
        <v>1113</v>
      </c>
    </row>
    <row r="2875" spans="1:3" ht="15">
      <c r="A2875" s="113" t="s">
        <v>275</v>
      </c>
      <c r="B2875" s="112" t="s">
        <v>354</v>
      </c>
      <c r="C2875" s="116" t="s">
        <v>1113</v>
      </c>
    </row>
    <row r="2876" spans="1:3" ht="15">
      <c r="A2876" s="113" t="s">
        <v>291</v>
      </c>
      <c r="B2876" s="112" t="s">
        <v>2369</v>
      </c>
      <c r="C2876" s="116" t="s">
        <v>1144</v>
      </c>
    </row>
    <row r="2877" spans="1:3" ht="15">
      <c r="A2877" s="113" t="s">
        <v>291</v>
      </c>
      <c r="B2877" s="112" t="s">
        <v>2374</v>
      </c>
      <c r="C2877" s="116" t="s">
        <v>1144</v>
      </c>
    </row>
    <row r="2878" spans="1:3" ht="15">
      <c r="A2878" s="113" t="s">
        <v>291</v>
      </c>
      <c r="B2878" s="112" t="s">
        <v>2373</v>
      </c>
      <c r="C2878" s="116" t="s">
        <v>1144</v>
      </c>
    </row>
    <row r="2879" spans="1:3" ht="15">
      <c r="A2879" s="113" t="s">
        <v>291</v>
      </c>
      <c r="B2879" s="112" t="s">
        <v>681</v>
      </c>
      <c r="C2879" s="116" t="s">
        <v>1144</v>
      </c>
    </row>
    <row r="2880" spans="1:3" ht="15">
      <c r="A2880" s="113" t="s">
        <v>291</v>
      </c>
      <c r="B2880" s="112" t="s">
        <v>2642</v>
      </c>
      <c r="C2880" s="116" t="s">
        <v>1144</v>
      </c>
    </row>
    <row r="2881" spans="1:3" ht="15">
      <c r="A2881" s="113" t="s">
        <v>291</v>
      </c>
      <c r="B2881" s="112" t="s">
        <v>4345</v>
      </c>
      <c r="C2881" s="116" t="s">
        <v>1144</v>
      </c>
    </row>
    <row r="2882" spans="1:3" ht="15">
      <c r="A2882" s="113" t="s">
        <v>291</v>
      </c>
      <c r="B2882" s="112" t="s">
        <v>2826</v>
      </c>
      <c r="C2882" s="116" t="s">
        <v>1144</v>
      </c>
    </row>
    <row r="2883" spans="1:3" ht="15">
      <c r="A2883" s="113" t="s">
        <v>291</v>
      </c>
      <c r="B2883" s="112" t="s">
        <v>2748</v>
      </c>
      <c r="C2883" s="116" t="s">
        <v>1144</v>
      </c>
    </row>
    <row r="2884" spans="1:3" ht="15">
      <c r="A2884" s="113" t="s">
        <v>291</v>
      </c>
      <c r="B2884" s="112" t="s">
        <v>2809</v>
      </c>
      <c r="C2884" s="116" t="s">
        <v>1144</v>
      </c>
    </row>
    <row r="2885" spans="1:3" ht="15">
      <c r="A2885" s="113" t="s">
        <v>269</v>
      </c>
      <c r="B2885" s="112" t="s">
        <v>2374</v>
      </c>
      <c r="C2885" s="116" t="s">
        <v>1102</v>
      </c>
    </row>
    <row r="2886" spans="1:3" ht="15">
      <c r="A2886" s="113" t="s">
        <v>269</v>
      </c>
      <c r="B2886" s="112" t="s">
        <v>2373</v>
      </c>
      <c r="C2886" s="116" t="s">
        <v>1102</v>
      </c>
    </row>
    <row r="2887" spans="1:3" ht="15">
      <c r="A2887" s="113" t="s">
        <v>269</v>
      </c>
      <c r="B2887" s="112" t="s">
        <v>681</v>
      </c>
      <c r="C2887" s="116" t="s">
        <v>1102</v>
      </c>
    </row>
    <row r="2888" spans="1:3" ht="15">
      <c r="A2888" s="113" t="s">
        <v>269</v>
      </c>
      <c r="B2888" s="112" t="s">
        <v>2826</v>
      </c>
      <c r="C2888" s="116" t="s">
        <v>1102</v>
      </c>
    </row>
    <row r="2889" spans="1:3" ht="15">
      <c r="A2889" s="113" t="s">
        <v>269</v>
      </c>
      <c r="B2889" s="112" t="s">
        <v>2636</v>
      </c>
      <c r="C2889" s="116" t="s">
        <v>1102</v>
      </c>
    </row>
    <row r="2890" spans="1:3" ht="15">
      <c r="A2890" s="113" t="s">
        <v>269</v>
      </c>
      <c r="B2890" s="112" t="s">
        <v>2725</v>
      </c>
      <c r="C2890" s="116" t="s">
        <v>1102</v>
      </c>
    </row>
    <row r="2891" spans="1:3" ht="15">
      <c r="A2891" s="113" t="s">
        <v>269</v>
      </c>
      <c r="B2891" s="112" t="s">
        <v>2694</v>
      </c>
      <c r="C2891" s="116" t="s">
        <v>1102</v>
      </c>
    </row>
    <row r="2892" spans="1:3" ht="15">
      <c r="A2892" s="113" t="s">
        <v>269</v>
      </c>
      <c r="B2892" s="112" t="s">
        <v>4346</v>
      </c>
      <c r="C2892" s="116" t="s">
        <v>1102</v>
      </c>
    </row>
    <row r="2893" spans="1:3" ht="15">
      <c r="A2893" s="113" t="s">
        <v>269</v>
      </c>
      <c r="B2893" s="112" t="s">
        <v>4347</v>
      </c>
      <c r="C2893" s="116" t="s">
        <v>1102</v>
      </c>
    </row>
    <row r="2894" spans="1:3" ht="15">
      <c r="A2894" s="113" t="s">
        <v>269</v>
      </c>
      <c r="B2894" s="112" t="s">
        <v>2379</v>
      </c>
      <c r="C2894" s="116" t="s">
        <v>1102</v>
      </c>
    </row>
    <row r="2895" spans="1:3" ht="15">
      <c r="A2895" s="113" t="s">
        <v>269</v>
      </c>
      <c r="B2895" s="112" t="s">
        <v>2376</v>
      </c>
      <c r="C2895" s="116" t="s">
        <v>1102</v>
      </c>
    </row>
    <row r="2896" spans="1:3" ht="15">
      <c r="A2896" s="113" t="s">
        <v>269</v>
      </c>
      <c r="B2896" s="112" t="s">
        <v>4348</v>
      </c>
      <c r="C2896" s="116" t="s">
        <v>1102</v>
      </c>
    </row>
    <row r="2897" spans="1:3" ht="15">
      <c r="A2897" s="113" t="s">
        <v>269</v>
      </c>
      <c r="B2897" s="112" t="s">
        <v>4349</v>
      </c>
      <c r="C2897" s="116" t="s">
        <v>1102</v>
      </c>
    </row>
    <row r="2898" spans="1:3" ht="15">
      <c r="A2898" s="113" t="s">
        <v>269</v>
      </c>
      <c r="B2898" s="112" t="s">
        <v>3017</v>
      </c>
      <c r="C2898" s="116" t="s">
        <v>1102</v>
      </c>
    </row>
    <row r="2899" spans="1:3" ht="15">
      <c r="A2899" s="113" t="s">
        <v>269</v>
      </c>
      <c r="B2899" s="112" t="s">
        <v>2750</v>
      </c>
      <c r="C2899" s="116" t="s">
        <v>1102</v>
      </c>
    </row>
    <row r="2900" spans="1:3" ht="15">
      <c r="A2900" s="113" t="s">
        <v>269</v>
      </c>
      <c r="B2900" s="112" t="s">
        <v>2735</v>
      </c>
      <c r="C2900" s="116" t="s">
        <v>1102</v>
      </c>
    </row>
    <row r="2901" spans="1:3" ht="15">
      <c r="A2901" s="113" t="s">
        <v>269</v>
      </c>
      <c r="B2901" s="112" t="s">
        <v>2782</v>
      </c>
      <c r="C2901" s="116" t="s">
        <v>1102</v>
      </c>
    </row>
    <row r="2902" spans="1:3" ht="15">
      <c r="A2902" s="113" t="s">
        <v>269</v>
      </c>
      <c r="B2902" s="112" t="s">
        <v>2742</v>
      </c>
      <c r="C2902" s="116" t="s">
        <v>1102</v>
      </c>
    </row>
    <row r="2903" spans="1:3" ht="15">
      <c r="A2903" s="113" t="s">
        <v>269</v>
      </c>
      <c r="B2903" s="112" t="s">
        <v>2673</v>
      </c>
      <c r="C2903" s="116" t="s">
        <v>1102</v>
      </c>
    </row>
    <row r="2904" spans="1:3" ht="15">
      <c r="A2904" s="113" t="s">
        <v>269</v>
      </c>
      <c r="B2904" s="112" t="s">
        <v>4350</v>
      </c>
      <c r="C2904" s="116" t="s">
        <v>1102</v>
      </c>
    </row>
    <row r="2905" spans="1:3" ht="15">
      <c r="A2905" s="113" t="s">
        <v>269</v>
      </c>
      <c r="B2905" s="112" t="s">
        <v>2871</v>
      </c>
      <c r="C2905" s="116" t="s">
        <v>1102</v>
      </c>
    </row>
    <row r="2906" spans="1:3" ht="15">
      <c r="A2906" s="113" t="s">
        <v>269</v>
      </c>
      <c r="B2906" s="112" t="s">
        <v>2714</v>
      </c>
      <c r="C2906" s="116" t="s">
        <v>1102</v>
      </c>
    </row>
    <row r="2907" spans="1:3" ht="15">
      <c r="A2907" s="113" t="s">
        <v>269</v>
      </c>
      <c r="B2907" s="112" t="s">
        <v>2992</v>
      </c>
      <c r="C2907" s="116" t="s">
        <v>1102</v>
      </c>
    </row>
    <row r="2908" spans="1:3" ht="15">
      <c r="A2908" s="113" t="s">
        <v>269</v>
      </c>
      <c r="B2908" s="112" t="s">
        <v>2751</v>
      </c>
      <c r="C2908" s="116" t="s">
        <v>1102</v>
      </c>
    </row>
    <row r="2909" spans="1:3" ht="15">
      <c r="A2909" s="113" t="s">
        <v>269</v>
      </c>
      <c r="B2909" s="112" t="s">
        <v>4351</v>
      </c>
      <c r="C2909" s="116" t="s">
        <v>1102</v>
      </c>
    </row>
    <row r="2910" spans="1:3" ht="15">
      <c r="A2910" s="113" t="s">
        <v>269</v>
      </c>
      <c r="B2910" s="112" t="s">
        <v>4352</v>
      </c>
      <c r="C2910" s="116" t="s">
        <v>1102</v>
      </c>
    </row>
    <row r="2911" spans="1:3" ht="15">
      <c r="A2911" s="113" t="s">
        <v>269</v>
      </c>
      <c r="B2911" s="112" t="s">
        <v>2377</v>
      </c>
      <c r="C2911" s="116" t="s">
        <v>1102</v>
      </c>
    </row>
    <row r="2912" spans="1:3" ht="15">
      <c r="A2912" s="113" t="s">
        <v>269</v>
      </c>
      <c r="B2912" s="112" t="s">
        <v>2638</v>
      </c>
      <c r="C2912" s="116" t="s">
        <v>1102</v>
      </c>
    </row>
    <row r="2913" spans="1:3" ht="15">
      <c r="A2913" s="113" t="s">
        <v>269</v>
      </c>
      <c r="B2913" s="112" t="s">
        <v>4353</v>
      </c>
      <c r="C2913" s="116" t="s">
        <v>1102</v>
      </c>
    </row>
    <row r="2914" spans="1:3" ht="15">
      <c r="A2914" s="113" t="s">
        <v>269</v>
      </c>
      <c r="B2914" s="112" t="s">
        <v>2678</v>
      </c>
      <c r="C2914" s="116" t="s">
        <v>1102</v>
      </c>
    </row>
    <row r="2915" spans="1:3" ht="15">
      <c r="A2915" s="113" t="s">
        <v>269</v>
      </c>
      <c r="B2915" s="112" t="s">
        <v>386</v>
      </c>
      <c r="C2915" s="116" t="s">
        <v>1102</v>
      </c>
    </row>
    <row r="2916" spans="1:3" ht="15">
      <c r="A2916" s="113" t="s">
        <v>241</v>
      </c>
      <c r="B2916" s="112" t="s">
        <v>682</v>
      </c>
      <c r="C2916" s="116" t="s">
        <v>1053</v>
      </c>
    </row>
    <row r="2917" spans="1:3" ht="15">
      <c r="A2917" s="113" t="s">
        <v>241</v>
      </c>
      <c r="B2917" s="112" t="s">
        <v>2720</v>
      </c>
      <c r="C2917" s="116" t="s">
        <v>1053</v>
      </c>
    </row>
    <row r="2918" spans="1:3" ht="15">
      <c r="A2918" s="113" t="s">
        <v>241</v>
      </c>
      <c r="B2918" s="112" t="s">
        <v>2653</v>
      </c>
      <c r="C2918" s="116" t="s">
        <v>1053</v>
      </c>
    </row>
    <row r="2919" spans="1:3" ht="15">
      <c r="A2919" s="113" t="s">
        <v>241</v>
      </c>
      <c r="B2919" s="112" t="s">
        <v>2954</v>
      </c>
      <c r="C2919" s="116" t="s">
        <v>1053</v>
      </c>
    </row>
    <row r="2920" spans="1:3" ht="15">
      <c r="A2920" s="113" t="s">
        <v>241</v>
      </c>
      <c r="B2920" s="112" t="s">
        <v>2379</v>
      </c>
      <c r="C2920" s="116" t="s">
        <v>1053</v>
      </c>
    </row>
    <row r="2921" spans="1:3" ht="15">
      <c r="A2921" s="113" t="s">
        <v>241</v>
      </c>
      <c r="B2921" s="112" t="s">
        <v>2651</v>
      </c>
      <c r="C2921" s="116" t="s">
        <v>1053</v>
      </c>
    </row>
    <row r="2922" spans="1:3" ht="15">
      <c r="A2922" s="113" t="s">
        <v>241</v>
      </c>
      <c r="B2922" s="112" t="s">
        <v>2378</v>
      </c>
      <c r="C2922" s="116" t="s">
        <v>1053</v>
      </c>
    </row>
    <row r="2923" spans="1:3" ht="15">
      <c r="A2923" s="113" t="s">
        <v>285</v>
      </c>
      <c r="B2923" s="112" t="s">
        <v>682</v>
      </c>
      <c r="C2923" s="116" t="s">
        <v>1137</v>
      </c>
    </row>
    <row r="2924" spans="1:3" ht="15">
      <c r="A2924" s="113" t="s">
        <v>341</v>
      </c>
      <c r="B2924" s="112" t="s">
        <v>4354</v>
      </c>
      <c r="C2924" s="116" t="s">
        <v>1221</v>
      </c>
    </row>
    <row r="2925" spans="1:3" ht="15">
      <c r="A2925" s="113" t="s">
        <v>341</v>
      </c>
      <c r="B2925" s="112">
        <v>2017</v>
      </c>
      <c r="C2925" s="116" t="s">
        <v>1221</v>
      </c>
    </row>
    <row r="2926" spans="1:3" ht="15">
      <c r="A2926" s="113" t="s">
        <v>341</v>
      </c>
      <c r="B2926" s="112" t="s">
        <v>4355</v>
      </c>
      <c r="C2926" s="116" t="s">
        <v>1221</v>
      </c>
    </row>
    <row r="2927" spans="1:3" ht="15">
      <c r="A2927" s="113" t="s">
        <v>341</v>
      </c>
      <c r="B2927" s="112">
        <v>7</v>
      </c>
      <c r="C2927" s="116" t="s">
        <v>1221</v>
      </c>
    </row>
    <row r="2928" spans="1:3" ht="15">
      <c r="A2928" s="113" t="s">
        <v>341</v>
      </c>
      <c r="B2928" s="112" t="s">
        <v>4356</v>
      </c>
      <c r="C2928" s="116" t="s">
        <v>1221</v>
      </c>
    </row>
    <row r="2929" spans="1:3" ht="15">
      <c r="A2929" s="113" t="s">
        <v>341</v>
      </c>
      <c r="B2929" s="112" t="s">
        <v>2654</v>
      </c>
      <c r="C2929" s="116" t="s">
        <v>1221</v>
      </c>
    </row>
    <row r="2930" spans="1:3" ht="15">
      <c r="A2930" s="113" t="s">
        <v>341</v>
      </c>
      <c r="B2930" s="112" t="s">
        <v>2777</v>
      </c>
      <c r="C2930" s="116" t="s">
        <v>1221</v>
      </c>
    </row>
    <row r="2931" spans="1:3" ht="15">
      <c r="A2931" s="113" t="s">
        <v>341</v>
      </c>
      <c r="B2931" s="112" t="s">
        <v>2705</v>
      </c>
      <c r="C2931" s="116" t="s">
        <v>1221</v>
      </c>
    </row>
    <row r="2932" spans="1:3" ht="15">
      <c r="A2932" s="113" t="s">
        <v>341</v>
      </c>
      <c r="B2932" s="112" t="s">
        <v>2378</v>
      </c>
      <c r="C2932" s="116" t="s">
        <v>1221</v>
      </c>
    </row>
    <row r="2933" spans="1:3" ht="15">
      <c r="A2933" s="113" t="s">
        <v>341</v>
      </c>
      <c r="B2933" s="112" t="s">
        <v>4357</v>
      </c>
      <c r="C2933" s="116" t="s">
        <v>1221</v>
      </c>
    </row>
    <row r="2934" spans="1:3" ht="15">
      <c r="A2934" s="113" t="s">
        <v>341</v>
      </c>
      <c r="B2934" s="112" t="s">
        <v>2377</v>
      </c>
      <c r="C2934" s="116" t="s">
        <v>1221</v>
      </c>
    </row>
    <row r="2935" spans="1:3" ht="15">
      <c r="A2935" s="113" t="s">
        <v>341</v>
      </c>
      <c r="B2935" s="112">
        <v>20</v>
      </c>
      <c r="C2935" s="116" t="s">
        <v>1221</v>
      </c>
    </row>
    <row r="2936" spans="1:3" ht="15">
      <c r="A2936" s="113" t="s">
        <v>341</v>
      </c>
      <c r="B2936" s="112" t="s">
        <v>2659</v>
      </c>
      <c r="C2936" s="116" t="s">
        <v>1221</v>
      </c>
    </row>
    <row r="2937" spans="1:3" ht="15">
      <c r="A2937" s="113" t="s">
        <v>341</v>
      </c>
      <c r="B2937" s="112" t="s">
        <v>2891</v>
      </c>
      <c r="C2937" s="116" t="s">
        <v>1221</v>
      </c>
    </row>
    <row r="2938" spans="1:3" ht="15">
      <c r="A2938" s="113" t="s">
        <v>341</v>
      </c>
      <c r="B2938" s="112" t="s">
        <v>2637</v>
      </c>
      <c r="C2938" s="116" t="s">
        <v>1221</v>
      </c>
    </row>
    <row r="2939" spans="1:3" ht="15">
      <c r="A2939" s="113" t="s">
        <v>341</v>
      </c>
      <c r="B2939" s="112" t="s">
        <v>2643</v>
      </c>
      <c r="C2939" s="116" t="s">
        <v>1221</v>
      </c>
    </row>
    <row r="2940" spans="1:3" ht="15">
      <c r="A2940" s="113" t="s">
        <v>341</v>
      </c>
      <c r="B2940" s="112" t="s">
        <v>2765</v>
      </c>
      <c r="C2940" s="116" t="s">
        <v>1221</v>
      </c>
    </row>
    <row r="2941" spans="1:3" ht="15">
      <c r="A2941" s="113" t="s">
        <v>341</v>
      </c>
      <c r="B2941" s="112" t="s">
        <v>4358</v>
      </c>
      <c r="C2941" s="116" t="s">
        <v>1221</v>
      </c>
    </row>
    <row r="2942" spans="1:3" ht="15">
      <c r="A2942" s="113" t="s">
        <v>341</v>
      </c>
      <c r="B2942" s="112" t="s">
        <v>2706</v>
      </c>
      <c r="C2942" s="116" t="s">
        <v>1221</v>
      </c>
    </row>
    <row r="2943" spans="1:3" ht="15">
      <c r="A2943" s="113" t="s">
        <v>341</v>
      </c>
      <c r="B2943" s="112" t="s">
        <v>2708</v>
      </c>
      <c r="C2943" s="116" t="s">
        <v>1221</v>
      </c>
    </row>
    <row r="2944" spans="1:3" ht="15">
      <c r="A2944" s="113" t="s">
        <v>341</v>
      </c>
      <c r="B2944" s="112" t="s">
        <v>2652</v>
      </c>
      <c r="C2944" s="116" t="s">
        <v>1221</v>
      </c>
    </row>
    <row r="2945" spans="1:3" ht="15">
      <c r="A2945" s="113" t="s">
        <v>341</v>
      </c>
      <c r="B2945" s="112" t="s">
        <v>4359</v>
      </c>
      <c r="C2945" s="116" t="s">
        <v>1221</v>
      </c>
    </row>
    <row r="2946" spans="1:3" ht="15">
      <c r="A2946" s="113" t="s">
        <v>341</v>
      </c>
      <c r="B2946" s="112" t="s">
        <v>4360</v>
      </c>
      <c r="C2946" s="116" t="s">
        <v>1221</v>
      </c>
    </row>
    <row r="2947" spans="1:3" ht="15">
      <c r="A2947" s="113" t="s">
        <v>341</v>
      </c>
      <c r="B2947" s="112" t="s">
        <v>2775</v>
      </c>
      <c r="C2947" s="116" t="s">
        <v>1221</v>
      </c>
    </row>
    <row r="2948" spans="1:3" ht="15">
      <c r="A2948" s="113" t="s">
        <v>341</v>
      </c>
      <c r="B2948" s="112" t="s">
        <v>4361</v>
      </c>
      <c r="C2948" s="116" t="s">
        <v>1221</v>
      </c>
    </row>
    <row r="2949" spans="1:3" ht="15">
      <c r="A2949" s="113" t="s">
        <v>341</v>
      </c>
      <c r="B2949" s="112" t="s">
        <v>4362</v>
      </c>
      <c r="C2949" s="116" t="s">
        <v>1221</v>
      </c>
    </row>
    <row r="2950" spans="1:3" ht="15">
      <c r="A2950" s="113" t="s">
        <v>341</v>
      </c>
      <c r="B2950" s="112" t="s">
        <v>4363</v>
      </c>
      <c r="C2950" s="116" t="s">
        <v>1221</v>
      </c>
    </row>
    <row r="2951" spans="1:3" ht="15">
      <c r="A2951" s="113" t="s">
        <v>341</v>
      </c>
      <c r="B2951" s="112" t="s">
        <v>4364</v>
      </c>
      <c r="C2951" s="116" t="s">
        <v>1221</v>
      </c>
    </row>
    <row r="2952" spans="1:3" ht="15">
      <c r="A2952" s="113" t="s">
        <v>341</v>
      </c>
      <c r="B2952" s="112" t="s">
        <v>2647</v>
      </c>
      <c r="C2952" s="116" t="s">
        <v>1221</v>
      </c>
    </row>
    <row r="2953" spans="1:3" ht="15">
      <c r="A2953" s="113" t="s">
        <v>341</v>
      </c>
      <c r="B2953" s="112" t="s">
        <v>4365</v>
      </c>
      <c r="C2953" s="116" t="s">
        <v>1221</v>
      </c>
    </row>
    <row r="2954" spans="1:3" ht="15">
      <c r="A2954" s="113" t="s">
        <v>341</v>
      </c>
      <c r="B2954" s="112" t="s">
        <v>4366</v>
      </c>
      <c r="C2954" s="116" t="s">
        <v>1221</v>
      </c>
    </row>
    <row r="2955" spans="1:3" ht="15">
      <c r="A2955" s="113" t="s">
        <v>341</v>
      </c>
      <c r="B2955" s="112" t="s">
        <v>4367</v>
      </c>
      <c r="C2955" s="116" t="s">
        <v>1221</v>
      </c>
    </row>
    <row r="2956" spans="1:3" ht="15">
      <c r="A2956" s="113" t="s">
        <v>341</v>
      </c>
      <c r="B2956" s="112" t="s">
        <v>4368</v>
      </c>
      <c r="C2956" s="116" t="s">
        <v>1221</v>
      </c>
    </row>
    <row r="2957" spans="1:3" ht="15">
      <c r="A2957" s="113" t="s">
        <v>341</v>
      </c>
      <c r="B2957" s="112" t="s">
        <v>2986</v>
      </c>
      <c r="C2957" s="116" t="s">
        <v>1221</v>
      </c>
    </row>
    <row r="2958" spans="1:3" ht="15">
      <c r="A2958" s="113" t="s">
        <v>341</v>
      </c>
      <c r="B2958" s="112" t="s">
        <v>2716</v>
      </c>
      <c r="C2958" s="116" t="s">
        <v>1221</v>
      </c>
    </row>
    <row r="2959" spans="1:3" ht="15">
      <c r="A2959" s="113" t="s">
        <v>341</v>
      </c>
      <c r="B2959" s="112" t="s">
        <v>2696</v>
      </c>
      <c r="C2959" s="116" t="s">
        <v>1221</v>
      </c>
    </row>
    <row r="2960" spans="1:3" ht="15">
      <c r="A2960" s="113" t="s">
        <v>341</v>
      </c>
      <c r="B2960" s="112" t="s">
        <v>2825</v>
      </c>
      <c r="C2960" s="116" t="s">
        <v>1221</v>
      </c>
    </row>
    <row r="2961" spans="1:3" ht="15">
      <c r="A2961" s="113" t="s">
        <v>341</v>
      </c>
      <c r="B2961" s="112" t="s">
        <v>2683</v>
      </c>
      <c r="C2961" s="116" t="s">
        <v>1221</v>
      </c>
    </row>
    <row r="2962" spans="1:3" ht="15">
      <c r="A2962" s="113" t="s">
        <v>341</v>
      </c>
      <c r="B2962" s="112" t="s">
        <v>2872</v>
      </c>
      <c r="C2962" s="116" t="s">
        <v>1221</v>
      </c>
    </row>
    <row r="2963" spans="1:3" ht="15">
      <c r="A2963" s="113" t="s">
        <v>341</v>
      </c>
      <c r="B2963" s="112">
        <v>2021</v>
      </c>
      <c r="C2963" s="116" t="s">
        <v>1221</v>
      </c>
    </row>
    <row r="2964" spans="1:3" ht="15">
      <c r="A2964" s="113" t="s">
        <v>341</v>
      </c>
      <c r="B2964" s="112" t="s">
        <v>4369</v>
      </c>
      <c r="C2964" s="116" t="s">
        <v>1221</v>
      </c>
    </row>
    <row r="2965" spans="1:3" ht="15">
      <c r="A2965" s="113" t="s">
        <v>341</v>
      </c>
      <c r="B2965" s="112">
        <v>27</v>
      </c>
      <c r="C2965" s="116" t="s">
        <v>1221</v>
      </c>
    </row>
    <row r="2966" spans="1:3" ht="15">
      <c r="A2966" s="113" t="s">
        <v>341</v>
      </c>
      <c r="B2966" s="112" t="s">
        <v>4370</v>
      </c>
      <c r="C2966" s="116" t="s">
        <v>1221</v>
      </c>
    </row>
    <row r="2967" spans="1:3" ht="15">
      <c r="A2967" s="113" t="s">
        <v>341</v>
      </c>
      <c r="B2967" s="112">
        <v>1</v>
      </c>
      <c r="C2967" s="116" t="s">
        <v>1221</v>
      </c>
    </row>
    <row r="2968" spans="1:3" ht="15">
      <c r="A2968" s="113" t="s">
        <v>226</v>
      </c>
      <c r="B2968" s="112" t="s">
        <v>2374</v>
      </c>
      <c r="C2968" s="116" t="s">
        <v>1027</v>
      </c>
    </row>
    <row r="2969" spans="1:3" ht="15">
      <c r="A2969" s="113" t="s">
        <v>226</v>
      </c>
      <c r="B2969" s="112" t="s">
        <v>2373</v>
      </c>
      <c r="C2969" s="116" t="s">
        <v>1027</v>
      </c>
    </row>
    <row r="2970" spans="1:3" ht="15">
      <c r="A2970" s="113" t="s">
        <v>226</v>
      </c>
      <c r="B2970" s="112" t="s">
        <v>2380</v>
      </c>
      <c r="C2970" s="116" t="s">
        <v>1027</v>
      </c>
    </row>
    <row r="2971" spans="1:3" ht="15">
      <c r="A2971" s="113" t="s">
        <v>226</v>
      </c>
      <c r="B2971" s="112" t="s">
        <v>681</v>
      </c>
      <c r="C2971" s="116" t="s">
        <v>1027</v>
      </c>
    </row>
    <row r="2972" spans="1:3" ht="15">
      <c r="A2972" s="113" t="s">
        <v>226</v>
      </c>
      <c r="B2972" s="112" t="s">
        <v>350</v>
      </c>
      <c r="C2972" s="116" t="s">
        <v>1027</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513B-9D7B-4406-95A6-D700134BF08F}">
  <dimension ref="A1:B7044"/>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2627</v>
      </c>
      <c r="B1" s="7" t="s">
        <v>11320</v>
      </c>
    </row>
    <row r="2" spans="1:2" ht="15">
      <c r="A2" s="112" t="s">
        <v>4371</v>
      </c>
      <c r="B2" s="112" t="s">
        <v>11321</v>
      </c>
    </row>
    <row r="3" spans="1:2" ht="15">
      <c r="A3" s="113" t="s">
        <v>4372</v>
      </c>
      <c r="B3" s="112" t="s">
        <v>11321</v>
      </c>
    </row>
    <row r="4" spans="1:2" ht="15">
      <c r="A4" s="113" t="s">
        <v>4373</v>
      </c>
      <c r="B4" s="112" t="s">
        <v>11321</v>
      </c>
    </row>
    <row r="5" spans="1:2" ht="15">
      <c r="A5" s="113" t="s">
        <v>4374</v>
      </c>
      <c r="B5" s="112" t="s">
        <v>11321</v>
      </c>
    </row>
    <row r="6" spans="1:2" ht="15">
      <c r="A6" s="113" t="s">
        <v>4375</v>
      </c>
      <c r="B6" s="112" t="s">
        <v>11321</v>
      </c>
    </row>
    <row r="7" spans="1:2" ht="15">
      <c r="A7" s="113" t="s">
        <v>4376</v>
      </c>
      <c r="B7" s="112" t="s">
        <v>11321</v>
      </c>
    </row>
    <row r="8" spans="1:2" ht="15">
      <c r="A8" s="113" t="s">
        <v>4377</v>
      </c>
      <c r="B8" s="112" t="s">
        <v>11321</v>
      </c>
    </row>
    <row r="9" spans="1:2" ht="15">
      <c r="A9" s="113" t="s">
        <v>4378</v>
      </c>
      <c r="B9" s="112" t="s">
        <v>11321</v>
      </c>
    </row>
    <row r="10" spans="1:2" ht="15">
      <c r="A10" s="113" t="s">
        <v>4379</v>
      </c>
      <c r="B10" s="112" t="s">
        <v>11321</v>
      </c>
    </row>
    <row r="11" spans="1:2" ht="15">
      <c r="A11" s="113" t="s">
        <v>4380</v>
      </c>
      <c r="B11" s="112" t="s">
        <v>11321</v>
      </c>
    </row>
    <row r="12" spans="1:2" ht="15">
      <c r="A12" s="113" t="s">
        <v>4381</v>
      </c>
      <c r="B12" s="112" t="s">
        <v>11321</v>
      </c>
    </row>
    <row r="13" spans="1:2" ht="15">
      <c r="A13" s="113" t="s">
        <v>4382</v>
      </c>
      <c r="B13" s="112" t="s">
        <v>11321</v>
      </c>
    </row>
    <row r="14" spans="1:2" ht="15">
      <c r="A14" s="113" t="s">
        <v>4383</v>
      </c>
      <c r="B14" s="112" t="s">
        <v>11321</v>
      </c>
    </row>
    <row r="15" spans="1:2" ht="15">
      <c r="A15" s="113" t="s">
        <v>4384</v>
      </c>
      <c r="B15" s="112" t="s">
        <v>11321</v>
      </c>
    </row>
    <row r="16" spans="1:2" ht="15">
      <c r="A16" s="113" t="s">
        <v>4385</v>
      </c>
      <c r="B16" s="112" t="s">
        <v>11321</v>
      </c>
    </row>
    <row r="17" spans="1:2" ht="15">
      <c r="A17" s="113" t="s">
        <v>4386</v>
      </c>
      <c r="B17" s="112" t="s">
        <v>11321</v>
      </c>
    </row>
    <row r="18" spans="1:2" ht="15">
      <c r="A18" s="113" t="s">
        <v>4387</v>
      </c>
      <c r="B18" s="112" t="s">
        <v>11321</v>
      </c>
    </row>
    <row r="19" spans="1:2" ht="15">
      <c r="A19" s="113" t="s">
        <v>4388</v>
      </c>
      <c r="B19" s="112" t="s">
        <v>11321</v>
      </c>
    </row>
    <row r="20" spans="1:2" ht="15">
      <c r="A20" s="113" t="s">
        <v>4389</v>
      </c>
      <c r="B20" s="112" t="s">
        <v>11321</v>
      </c>
    </row>
    <row r="21" spans="1:2" ht="15">
      <c r="A21" s="113" t="s">
        <v>4390</v>
      </c>
      <c r="B21" s="112" t="s">
        <v>11321</v>
      </c>
    </row>
    <row r="22" spans="1:2" ht="15">
      <c r="A22" s="113" t="s">
        <v>4391</v>
      </c>
      <c r="B22" s="112" t="s">
        <v>11321</v>
      </c>
    </row>
    <row r="23" spans="1:2" ht="15">
      <c r="A23" s="113" t="s">
        <v>4392</v>
      </c>
      <c r="B23" s="112" t="s">
        <v>11321</v>
      </c>
    </row>
    <row r="24" spans="1:2" ht="15">
      <c r="A24" s="113" t="s">
        <v>4393</v>
      </c>
      <c r="B24" s="112" t="s">
        <v>11321</v>
      </c>
    </row>
    <row r="25" spans="1:2" ht="15">
      <c r="A25" s="113" t="s">
        <v>4394</v>
      </c>
      <c r="B25" s="112" t="s">
        <v>11321</v>
      </c>
    </row>
    <row r="26" spans="1:2" ht="15">
      <c r="A26" s="113" t="s">
        <v>4395</v>
      </c>
      <c r="B26" s="112" t="s">
        <v>11321</v>
      </c>
    </row>
    <row r="27" spans="1:2" ht="15">
      <c r="A27" s="113" t="s">
        <v>4396</v>
      </c>
      <c r="B27" s="112" t="s">
        <v>11321</v>
      </c>
    </row>
    <row r="28" spans="1:2" ht="15">
      <c r="A28" s="113" t="s">
        <v>4397</v>
      </c>
      <c r="B28" s="112" t="s">
        <v>11321</v>
      </c>
    </row>
    <row r="29" spans="1:2" ht="15">
      <c r="A29" s="113" t="s">
        <v>4398</v>
      </c>
      <c r="B29" s="112" t="s">
        <v>11321</v>
      </c>
    </row>
    <row r="30" spans="1:2" ht="15">
      <c r="A30" s="113" t="s">
        <v>4399</v>
      </c>
      <c r="B30" s="112" t="s">
        <v>11321</v>
      </c>
    </row>
    <row r="31" spans="1:2" ht="15">
      <c r="A31" s="113" t="s">
        <v>4400</v>
      </c>
      <c r="B31" s="112" t="s">
        <v>11321</v>
      </c>
    </row>
    <row r="32" spans="1:2" ht="15">
      <c r="A32" s="113" t="s">
        <v>4401</v>
      </c>
      <c r="B32" s="112" t="s">
        <v>11321</v>
      </c>
    </row>
    <row r="33" spans="1:2" ht="15">
      <c r="A33" s="113" t="s">
        <v>4402</v>
      </c>
      <c r="B33" s="112" t="s">
        <v>11321</v>
      </c>
    </row>
    <row r="34" spans="1:2" ht="15">
      <c r="A34" s="113" t="s">
        <v>4403</v>
      </c>
      <c r="B34" s="112" t="s">
        <v>11321</v>
      </c>
    </row>
    <row r="35" spans="1:2" ht="15">
      <c r="A35" s="113" t="s">
        <v>4404</v>
      </c>
      <c r="B35" s="112" t="s">
        <v>11321</v>
      </c>
    </row>
    <row r="36" spans="1:2" ht="15">
      <c r="A36" s="113" t="s">
        <v>4405</v>
      </c>
      <c r="B36" s="112" t="s">
        <v>11321</v>
      </c>
    </row>
    <row r="37" spans="1:2" ht="15">
      <c r="A37" s="113" t="s">
        <v>4406</v>
      </c>
      <c r="B37" s="112" t="s">
        <v>11321</v>
      </c>
    </row>
    <row r="38" spans="1:2" ht="15">
      <c r="A38" s="113" t="s">
        <v>4407</v>
      </c>
      <c r="B38" s="112" t="s">
        <v>11321</v>
      </c>
    </row>
    <row r="39" spans="1:2" ht="15">
      <c r="A39" s="113" t="s">
        <v>4408</v>
      </c>
      <c r="B39" s="112" t="s">
        <v>11321</v>
      </c>
    </row>
    <row r="40" spans="1:2" ht="15">
      <c r="A40" s="113" t="s">
        <v>4409</v>
      </c>
      <c r="B40" s="112" t="s">
        <v>11321</v>
      </c>
    </row>
    <row r="41" spans="1:2" ht="15">
      <c r="A41" s="113" t="s">
        <v>4410</v>
      </c>
      <c r="B41" s="112" t="s">
        <v>11321</v>
      </c>
    </row>
    <row r="42" spans="1:2" ht="15">
      <c r="A42" s="113" t="s">
        <v>4411</v>
      </c>
      <c r="B42" s="112" t="s">
        <v>11321</v>
      </c>
    </row>
    <row r="43" spans="1:2" ht="15">
      <c r="A43" s="113" t="s">
        <v>4412</v>
      </c>
      <c r="B43" s="112" t="s">
        <v>11321</v>
      </c>
    </row>
    <row r="44" spans="1:2" ht="15">
      <c r="A44" s="113" t="s">
        <v>4413</v>
      </c>
      <c r="B44" s="112" t="s">
        <v>11321</v>
      </c>
    </row>
    <row r="45" spans="1:2" ht="15">
      <c r="A45" s="113" t="s">
        <v>4414</v>
      </c>
      <c r="B45" s="112" t="s">
        <v>11321</v>
      </c>
    </row>
    <row r="46" spans="1:2" ht="15">
      <c r="A46" s="113" t="s">
        <v>4415</v>
      </c>
      <c r="B46" s="112" t="s">
        <v>11321</v>
      </c>
    </row>
    <row r="47" spans="1:2" ht="15">
      <c r="A47" s="113" t="s">
        <v>4416</v>
      </c>
      <c r="B47" s="112" t="s">
        <v>11321</v>
      </c>
    </row>
    <row r="48" spans="1:2" ht="15">
      <c r="A48" s="113" t="s">
        <v>4417</v>
      </c>
      <c r="B48" s="112" t="s">
        <v>11321</v>
      </c>
    </row>
    <row r="49" spans="1:2" ht="15">
      <c r="A49" s="113" t="s">
        <v>4418</v>
      </c>
      <c r="B49" s="112" t="s">
        <v>11321</v>
      </c>
    </row>
    <row r="50" spans="1:2" ht="15">
      <c r="A50" s="113" t="s">
        <v>4419</v>
      </c>
      <c r="B50" s="112" t="s">
        <v>11321</v>
      </c>
    </row>
    <row r="51" spans="1:2" ht="15">
      <c r="A51" s="113" t="s">
        <v>4420</v>
      </c>
      <c r="B51" s="112" t="s">
        <v>11321</v>
      </c>
    </row>
    <row r="52" spans="1:2" ht="15">
      <c r="A52" s="113" t="s">
        <v>4421</v>
      </c>
      <c r="B52" s="112" t="s">
        <v>11321</v>
      </c>
    </row>
    <row r="53" spans="1:2" ht="15">
      <c r="A53" s="113" t="s">
        <v>4422</v>
      </c>
      <c r="B53" s="112" t="s">
        <v>11321</v>
      </c>
    </row>
    <row r="54" spans="1:2" ht="15">
      <c r="A54" s="113" t="s">
        <v>4423</v>
      </c>
      <c r="B54" s="112" t="s">
        <v>11321</v>
      </c>
    </row>
    <row r="55" spans="1:2" ht="15">
      <c r="A55" s="113" t="s">
        <v>4424</v>
      </c>
      <c r="B55" s="112" t="s">
        <v>11321</v>
      </c>
    </row>
    <row r="56" spans="1:2" ht="15">
      <c r="A56" s="113" t="s">
        <v>4425</v>
      </c>
      <c r="B56" s="112" t="s">
        <v>11321</v>
      </c>
    </row>
    <row r="57" spans="1:2" ht="15">
      <c r="A57" s="113" t="s">
        <v>4426</v>
      </c>
      <c r="B57" s="112" t="s">
        <v>11321</v>
      </c>
    </row>
    <row r="58" spans="1:2" ht="15">
      <c r="A58" s="113" t="s">
        <v>4427</v>
      </c>
      <c r="B58" s="112" t="s">
        <v>11321</v>
      </c>
    </row>
    <row r="59" spans="1:2" ht="15">
      <c r="A59" s="113" t="s">
        <v>4428</v>
      </c>
      <c r="B59" s="112" t="s">
        <v>11321</v>
      </c>
    </row>
    <row r="60" spans="1:2" ht="15">
      <c r="A60" s="113" t="s">
        <v>4429</v>
      </c>
      <c r="B60" s="112" t="s">
        <v>11321</v>
      </c>
    </row>
    <row r="61" spans="1:2" ht="15">
      <c r="A61" s="113" t="s">
        <v>4430</v>
      </c>
      <c r="B61" s="112" t="s">
        <v>11321</v>
      </c>
    </row>
    <row r="62" spans="1:2" ht="15">
      <c r="A62" s="113" t="s">
        <v>4431</v>
      </c>
      <c r="B62" s="112" t="s">
        <v>11321</v>
      </c>
    </row>
    <row r="63" spans="1:2" ht="15">
      <c r="A63" s="113" t="s">
        <v>4432</v>
      </c>
      <c r="B63" s="112" t="s">
        <v>11321</v>
      </c>
    </row>
    <row r="64" spans="1:2" ht="15">
      <c r="A64" s="113" t="s">
        <v>4433</v>
      </c>
      <c r="B64" s="112" t="s">
        <v>11321</v>
      </c>
    </row>
    <row r="65" spans="1:2" ht="15">
      <c r="A65" s="113" t="s">
        <v>4434</v>
      </c>
      <c r="B65" s="112" t="s">
        <v>11321</v>
      </c>
    </row>
    <row r="66" spans="1:2" ht="15">
      <c r="A66" s="113" t="s">
        <v>4435</v>
      </c>
      <c r="B66" s="112" t="s">
        <v>11321</v>
      </c>
    </row>
    <row r="67" spans="1:2" ht="15">
      <c r="A67" s="113" t="s">
        <v>4436</v>
      </c>
      <c r="B67" s="112" t="s">
        <v>11321</v>
      </c>
    </row>
    <row r="68" spans="1:2" ht="15">
      <c r="A68" s="113" t="s">
        <v>794</v>
      </c>
      <c r="B68" s="112" t="s">
        <v>11321</v>
      </c>
    </row>
    <row r="69" spans="1:2" ht="15">
      <c r="A69" s="113" t="s">
        <v>4437</v>
      </c>
      <c r="B69" s="112" t="s">
        <v>11321</v>
      </c>
    </row>
    <row r="70" spans="1:2" ht="15">
      <c r="A70" s="113" t="s">
        <v>4438</v>
      </c>
      <c r="B70" s="112" t="s">
        <v>11321</v>
      </c>
    </row>
    <row r="71" spans="1:2" ht="15">
      <c r="A71" s="113" t="s">
        <v>4439</v>
      </c>
      <c r="B71" s="112" t="s">
        <v>11321</v>
      </c>
    </row>
    <row r="72" spans="1:2" ht="15">
      <c r="A72" s="113" t="s">
        <v>4440</v>
      </c>
      <c r="B72" s="112" t="s">
        <v>11321</v>
      </c>
    </row>
    <row r="73" spans="1:2" ht="15">
      <c r="A73" s="113" t="s">
        <v>4441</v>
      </c>
      <c r="B73" s="112" t="s">
        <v>11321</v>
      </c>
    </row>
    <row r="74" spans="1:2" ht="15">
      <c r="A74" s="113" t="s">
        <v>4442</v>
      </c>
      <c r="B74" s="112" t="s">
        <v>11321</v>
      </c>
    </row>
    <row r="75" spans="1:2" ht="15">
      <c r="A75" s="113" t="s">
        <v>4443</v>
      </c>
      <c r="B75" s="112" t="s">
        <v>11321</v>
      </c>
    </row>
    <row r="76" spans="1:2" ht="15">
      <c r="A76" s="113" t="s">
        <v>4444</v>
      </c>
      <c r="B76" s="112" t="s">
        <v>11321</v>
      </c>
    </row>
    <row r="77" spans="1:2" ht="15">
      <c r="A77" s="113" t="s">
        <v>4445</v>
      </c>
      <c r="B77" s="112" t="s">
        <v>11321</v>
      </c>
    </row>
    <row r="78" spans="1:2" ht="15">
      <c r="A78" s="113" t="s">
        <v>4446</v>
      </c>
      <c r="B78" s="112" t="s">
        <v>11321</v>
      </c>
    </row>
    <row r="79" spans="1:2" ht="15">
      <c r="A79" s="113" t="s">
        <v>4447</v>
      </c>
      <c r="B79" s="112" t="s">
        <v>11321</v>
      </c>
    </row>
    <row r="80" spans="1:2" ht="15">
      <c r="A80" s="113" t="s">
        <v>4448</v>
      </c>
      <c r="B80" s="112" t="s">
        <v>11321</v>
      </c>
    </row>
    <row r="81" spans="1:2" ht="15">
      <c r="A81" s="113" t="s">
        <v>4449</v>
      </c>
      <c r="B81" s="112" t="s">
        <v>11321</v>
      </c>
    </row>
    <row r="82" spans="1:2" ht="15">
      <c r="A82" s="113" t="s">
        <v>4450</v>
      </c>
      <c r="B82" s="112" t="s">
        <v>11321</v>
      </c>
    </row>
    <row r="83" spans="1:2" ht="15">
      <c r="A83" s="113" t="s">
        <v>4451</v>
      </c>
      <c r="B83" s="112" t="s">
        <v>11321</v>
      </c>
    </row>
    <row r="84" spans="1:2" ht="15">
      <c r="A84" s="113" t="s">
        <v>4452</v>
      </c>
      <c r="B84" s="112" t="s">
        <v>11321</v>
      </c>
    </row>
    <row r="85" spans="1:2" ht="15">
      <c r="A85" s="113" t="s">
        <v>4453</v>
      </c>
      <c r="B85" s="112" t="s">
        <v>11321</v>
      </c>
    </row>
    <row r="86" spans="1:2" ht="15">
      <c r="A86" s="113" t="s">
        <v>4454</v>
      </c>
      <c r="B86" s="112" t="s">
        <v>11321</v>
      </c>
    </row>
    <row r="87" spans="1:2" ht="15">
      <c r="A87" s="113" t="s">
        <v>4455</v>
      </c>
      <c r="B87" s="112" t="s">
        <v>11321</v>
      </c>
    </row>
    <row r="88" spans="1:2" ht="15">
      <c r="A88" s="113" t="s">
        <v>4456</v>
      </c>
      <c r="B88" s="112" t="s">
        <v>11321</v>
      </c>
    </row>
    <row r="89" spans="1:2" ht="15">
      <c r="A89" s="113" t="s">
        <v>4457</v>
      </c>
      <c r="B89" s="112" t="s">
        <v>11321</v>
      </c>
    </row>
    <row r="90" spans="1:2" ht="15">
      <c r="A90" s="113" t="s">
        <v>4458</v>
      </c>
      <c r="B90" s="112" t="s">
        <v>11321</v>
      </c>
    </row>
    <row r="91" spans="1:2" ht="15">
      <c r="A91" s="113" t="s">
        <v>4459</v>
      </c>
      <c r="B91" s="112" t="s">
        <v>11321</v>
      </c>
    </row>
    <row r="92" spans="1:2" ht="15">
      <c r="A92" s="113" t="s">
        <v>4460</v>
      </c>
      <c r="B92" s="112" t="s">
        <v>11321</v>
      </c>
    </row>
    <row r="93" spans="1:2" ht="15">
      <c r="A93" s="113" t="s">
        <v>4461</v>
      </c>
      <c r="B93" s="112" t="s">
        <v>11321</v>
      </c>
    </row>
    <row r="94" spans="1:2" ht="15">
      <c r="A94" s="113" t="s">
        <v>4462</v>
      </c>
      <c r="B94" s="112" t="s">
        <v>11321</v>
      </c>
    </row>
    <row r="95" spans="1:2" ht="15">
      <c r="A95" s="113" t="s">
        <v>4463</v>
      </c>
      <c r="B95" s="112" t="s">
        <v>11321</v>
      </c>
    </row>
    <row r="96" spans="1:2" ht="15">
      <c r="A96" s="113" t="s">
        <v>4464</v>
      </c>
      <c r="B96" s="112" t="s">
        <v>11321</v>
      </c>
    </row>
    <row r="97" spans="1:2" ht="15">
      <c r="A97" s="113" t="s">
        <v>4465</v>
      </c>
      <c r="B97" s="112" t="s">
        <v>11321</v>
      </c>
    </row>
    <row r="98" spans="1:2" ht="15">
      <c r="A98" s="113" t="s">
        <v>4466</v>
      </c>
      <c r="B98" s="112" t="s">
        <v>11321</v>
      </c>
    </row>
    <row r="99" spans="1:2" ht="15">
      <c r="A99" s="113" t="s">
        <v>4467</v>
      </c>
      <c r="B99" s="112" t="s">
        <v>11321</v>
      </c>
    </row>
    <row r="100" spans="1:2" ht="15">
      <c r="A100" s="113" t="s">
        <v>4468</v>
      </c>
      <c r="B100" s="112" t="s">
        <v>11321</v>
      </c>
    </row>
    <row r="101" spans="1:2" ht="15">
      <c r="A101" s="113" t="s">
        <v>4469</v>
      </c>
      <c r="B101" s="112" t="s">
        <v>11321</v>
      </c>
    </row>
    <row r="102" spans="1:2" ht="15">
      <c r="A102" s="113" t="s">
        <v>4470</v>
      </c>
      <c r="B102" s="112" t="s">
        <v>11321</v>
      </c>
    </row>
    <row r="103" spans="1:2" ht="15">
      <c r="A103" s="113" t="s">
        <v>4471</v>
      </c>
      <c r="B103" s="112" t="s">
        <v>11321</v>
      </c>
    </row>
    <row r="104" spans="1:2" ht="15">
      <c r="A104" s="113" t="s">
        <v>4472</v>
      </c>
      <c r="B104" s="112" t="s">
        <v>11321</v>
      </c>
    </row>
    <row r="105" spans="1:2" ht="15">
      <c r="A105" s="113" t="s">
        <v>4473</v>
      </c>
      <c r="B105" s="112" t="s">
        <v>11321</v>
      </c>
    </row>
    <row r="106" spans="1:2" ht="15">
      <c r="A106" s="113" t="s">
        <v>4474</v>
      </c>
      <c r="B106" s="112" t="s">
        <v>11321</v>
      </c>
    </row>
    <row r="107" spans="1:2" ht="15">
      <c r="A107" s="113" t="s">
        <v>4475</v>
      </c>
      <c r="B107" s="112" t="s">
        <v>11321</v>
      </c>
    </row>
    <row r="108" spans="1:2" ht="15">
      <c r="A108" s="113" t="s">
        <v>4476</v>
      </c>
      <c r="B108" s="112" t="s">
        <v>11321</v>
      </c>
    </row>
    <row r="109" spans="1:2" ht="15">
      <c r="A109" s="113" t="s">
        <v>4477</v>
      </c>
      <c r="B109" s="112" t="s">
        <v>11321</v>
      </c>
    </row>
    <row r="110" spans="1:2" ht="15">
      <c r="A110" s="113" t="s">
        <v>4478</v>
      </c>
      <c r="B110" s="112" t="s">
        <v>11321</v>
      </c>
    </row>
    <row r="111" spans="1:2" ht="15">
      <c r="A111" s="113" t="s">
        <v>4479</v>
      </c>
      <c r="B111" s="112" t="s">
        <v>11321</v>
      </c>
    </row>
    <row r="112" spans="1:2" ht="15">
      <c r="A112" s="113" t="s">
        <v>4480</v>
      </c>
      <c r="B112" s="112" t="s">
        <v>11321</v>
      </c>
    </row>
    <row r="113" spans="1:2" ht="15">
      <c r="A113" s="113" t="s">
        <v>4481</v>
      </c>
      <c r="B113" s="112" t="s">
        <v>11321</v>
      </c>
    </row>
    <row r="114" spans="1:2" ht="15">
      <c r="A114" s="113" t="s">
        <v>4482</v>
      </c>
      <c r="B114" s="112" t="s">
        <v>11321</v>
      </c>
    </row>
    <row r="115" spans="1:2" ht="15">
      <c r="A115" s="113" t="s">
        <v>4483</v>
      </c>
      <c r="B115" s="112" t="s">
        <v>11321</v>
      </c>
    </row>
    <row r="116" spans="1:2" ht="15">
      <c r="A116" s="113" t="s">
        <v>4484</v>
      </c>
      <c r="B116" s="112" t="s">
        <v>11321</v>
      </c>
    </row>
    <row r="117" spans="1:2" ht="15">
      <c r="A117" s="113" t="s">
        <v>4485</v>
      </c>
      <c r="B117" s="112" t="s">
        <v>11321</v>
      </c>
    </row>
    <row r="118" spans="1:2" ht="15">
      <c r="A118" s="113" t="s">
        <v>4486</v>
      </c>
      <c r="B118" s="112" t="s">
        <v>11321</v>
      </c>
    </row>
    <row r="119" spans="1:2" ht="15">
      <c r="A119" s="113" t="s">
        <v>4487</v>
      </c>
      <c r="B119" s="112" t="s">
        <v>11321</v>
      </c>
    </row>
    <row r="120" spans="1:2" ht="15">
      <c r="A120" s="113" t="s">
        <v>4488</v>
      </c>
      <c r="B120" s="112" t="s">
        <v>11321</v>
      </c>
    </row>
    <row r="121" spans="1:2" ht="15">
      <c r="A121" s="113" t="s">
        <v>4489</v>
      </c>
      <c r="B121" s="112" t="s">
        <v>11321</v>
      </c>
    </row>
    <row r="122" spans="1:2" ht="15">
      <c r="A122" s="113" t="s">
        <v>4490</v>
      </c>
      <c r="B122" s="112" t="s">
        <v>11321</v>
      </c>
    </row>
    <row r="123" spans="1:2" ht="15">
      <c r="A123" s="113" t="s">
        <v>4491</v>
      </c>
      <c r="B123" s="112" t="s">
        <v>11321</v>
      </c>
    </row>
    <row r="124" spans="1:2" ht="15">
      <c r="A124" s="113" t="s">
        <v>4492</v>
      </c>
      <c r="B124" s="112" t="s">
        <v>11321</v>
      </c>
    </row>
    <row r="125" spans="1:2" ht="15">
      <c r="A125" s="113" t="s">
        <v>4493</v>
      </c>
      <c r="B125" s="112" t="s">
        <v>11321</v>
      </c>
    </row>
    <row r="126" spans="1:2" ht="15">
      <c r="A126" s="113" t="s">
        <v>4494</v>
      </c>
      <c r="B126" s="112" t="s">
        <v>11321</v>
      </c>
    </row>
    <row r="127" spans="1:2" ht="15">
      <c r="A127" s="113" t="s">
        <v>4495</v>
      </c>
      <c r="B127" s="112" t="s">
        <v>11321</v>
      </c>
    </row>
    <row r="128" spans="1:2" ht="15">
      <c r="A128" s="113" t="s">
        <v>4496</v>
      </c>
      <c r="B128" s="112" t="s">
        <v>11321</v>
      </c>
    </row>
    <row r="129" spans="1:2" ht="15">
      <c r="A129" s="113" t="s">
        <v>4497</v>
      </c>
      <c r="B129" s="112" t="s">
        <v>11321</v>
      </c>
    </row>
    <row r="130" spans="1:2" ht="15">
      <c r="A130" s="113" t="s">
        <v>4498</v>
      </c>
      <c r="B130" s="112" t="s">
        <v>11321</v>
      </c>
    </row>
    <row r="131" spans="1:2" ht="15">
      <c r="A131" s="113" t="s">
        <v>4499</v>
      </c>
      <c r="B131" s="112" t="s">
        <v>11321</v>
      </c>
    </row>
    <row r="132" spans="1:2" ht="15">
      <c r="A132" s="113" t="s">
        <v>4500</v>
      </c>
      <c r="B132" s="112" t="s">
        <v>11321</v>
      </c>
    </row>
    <row r="133" spans="1:2" ht="15">
      <c r="A133" s="113" t="s">
        <v>4501</v>
      </c>
      <c r="B133" s="112" t="s">
        <v>11321</v>
      </c>
    </row>
    <row r="134" spans="1:2" ht="15">
      <c r="A134" s="113" t="s">
        <v>4502</v>
      </c>
      <c r="B134" s="112" t="s">
        <v>11321</v>
      </c>
    </row>
    <row r="135" spans="1:2" ht="15">
      <c r="A135" s="113" t="s">
        <v>4503</v>
      </c>
      <c r="B135" s="112" t="s">
        <v>11321</v>
      </c>
    </row>
    <row r="136" spans="1:2" ht="15">
      <c r="A136" s="113" t="s">
        <v>4504</v>
      </c>
      <c r="B136" s="112" t="s">
        <v>11321</v>
      </c>
    </row>
    <row r="137" spans="1:2" ht="15">
      <c r="A137" s="113" t="s">
        <v>4505</v>
      </c>
      <c r="B137" s="112" t="s">
        <v>11321</v>
      </c>
    </row>
    <row r="138" spans="1:2" ht="15">
      <c r="A138" s="113" t="s">
        <v>4506</v>
      </c>
      <c r="B138" s="112" t="s">
        <v>11321</v>
      </c>
    </row>
    <row r="139" spans="1:2" ht="15">
      <c r="A139" s="113" t="s">
        <v>4507</v>
      </c>
      <c r="B139" s="112" t="s">
        <v>11321</v>
      </c>
    </row>
    <row r="140" spans="1:2" ht="15">
      <c r="A140" s="113" t="s">
        <v>4508</v>
      </c>
      <c r="B140" s="112" t="s">
        <v>11321</v>
      </c>
    </row>
    <row r="141" spans="1:2" ht="15">
      <c r="A141" s="113" t="s">
        <v>4509</v>
      </c>
      <c r="B141" s="112" t="s">
        <v>11321</v>
      </c>
    </row>
    <row r="142" spans="1:2" ht="15">
      <c r="A142" s="113" t="s">
        <v>4510</v>
      </c>
      <c r="B142" s="112" t="s">
        <v>11321</v>
      </c>
    </row>
    <row r="143" spans="1:2" ht="15">
      <c r="A143" s="113" t="s">
        <v>4511</v>
      </c>
      <c r="B143" s="112" t="s">
        <v>11321</v>
      </c>
    </row>
    <row r="144" spans="1:2" ht="15">
      <c r="A144" s="113" t="s">
        <v>4512</v>
      </c>
      <c r="B144" s="112" t="s">
        <v>11321</v>
      </c>
    </row>
    <row r="145" spans="1:2" ht="15">
      <c r="A145" s="113" t="s">
        <v>4513</v>
      </c>
      <c r="B145" s="112" t="s">
        <v>11321</v>
      </c>
    </row>
    <row r="146" spans="1:2" ht="15">
      <c r="A146" s="113" t="s">
        <v>4514</v>
      </c>
      <c r="B146" s="112" t="s">
        <v>11321</v>
      </c>
    </row>
    <row r="147" spans="1:2" ht="15">
      <c r="A147" s="113" t="s">
        <v>4515</v>
      </c>
      <c r="B147" s="112" t="s">
        <v>11321</v>
      </c>
    </row>
    <row r="148" spans="1:2" ht="15">
      <c r="A148" s="113" t="s">
        <v>4516</v>
      </c>
      <c r="B148" s="112" t="s">
        <v>11321</v>
      </c>
    </row>
    <row r="149" spans="1:2" ht="15">
      <c r="A149" s="113" t="s">
        <v>4517</v>
      </c>
      <c r="B149" s="112" t="s">
        <v>11321</v>
      </c>
    </row>
    <row r="150" spans="1:2" ht="15">
      <c r="A150" s="113" t="s">
        <v>4518</v>
      </c>
      <c r="B150" s="112" t="s">
        <v>11321</v>
      </c>
    </row>
    <row r="151" spans="1:2" ht="15">
      <c r="A151" s="113" t="s">
        <v>4519</v>
      </c>
      <c r="B151" s="112" t="s">
        <v>11321</v>
      </c>
    </row>
    <row r="152" spans="1:2" ht="15">
      <c r="A152" s="113" t="s">
        <v>4520</v>
      </c>
      <c r="B152" s="112" t="s">
        <v>11321</v>
      </c>
    </row>
    <row r="153" spans="1:2" ht="15">
      <c r="A153" s="113" t="s">
        <v>4521</v>
      </c>
      <c r="B153" s="112" t="s">
        <v>11321</v>
      </c>
    </row>
    <row r="154" spans="1:2" ht="15">
      <c r="A154" s="113" t="s">
        <v>4522</v>
      </c>
      <c r="B154" s="112" t="s">
        <v>11321</v>
      </c>
    </row>
    <row r="155" spans="1:2" ht="15">
      <c r="A155" s="113" t="s">
        <v>4523</v>
      </c>
      <c r="B155" s="112" t="s">
        <v>11321</v>
      </c>
    </row>
    <row r="156" spans="1:2" ht="15">
      <c r="A156" s="113" t="s">
        <v>4524</v>
      </c>
      <c r="B156" s="112" t="s">
        <v>11321</v>
      </c>
    </row>
    <row r="157" spans="1:2" ht="15">
      <c r="A157" s="113" t="s">
        <v>4525</v>
      </c>
      <c r="B157" s="112" t="s">
        <v>11321</v>
      </c>
    </row>
    <row r="158" spans="1:2" ht="15">
      <c r="A158" s="113" t="s">
        <v>4526</v>
      </c>
      <c r="B158" s="112" t="s">
        <v>11321</v>
      </c>
    </row>
    <row r="159" spans="1:2" ht="15">
      <c r="A159" s="113" t="s">
        <v>4527</v>
      </c>
      <c r="B159" s="112" t="s">
        <v>11321</v>
      </c>
    </row>
    <row r="160" spans="1:2" ht="15">
      <c r="A160" s="113" t="s">
        <v>4528</v>
      </c>
      <c r="B160" s="112" t="s">
        <v>11321</v>
      </c>
    </row>
    <row r="161" spans="1:2" ht="15">
      <c r="A161" s="113" t="s">
        <v>4529</v>
      </c>
      <c r="B161" s="112" t="s">
        <v>11321</v>
      </c>
    </row>
    <row r="162" spans="1:2" ht="15">
      <c r="A162" s="113" t="s">
        <v>4530</v>
      </c>
      <c r="B162" s="112" t="s">
        <v>11321</v>
      </c>
    </row>
    <row r="163" spans="1:2" ht="15">
      <c r="A163" s="113" t="s">
        <v>4531</v>
      </c>
      <c r="B163" s="112" t="s">
        <v>11321</v>
      </c>
    </row>
    <row r="164" spans="1:2" ht="15">
      <c r="A164" s="113" t="s">
        <v>4532</v>
      </c>
      <c r="B164" s="112" t="s">
        <v>11321</v>
      </c>
    </row>
    <row r="165" spans="1:2" ht="15">
      <c r="A165" s="113" t="s">
        <v>4533</v>
      </c>
      <c r="B165" s="112" t="s">
        <v>11321</v>
      </c>
    </row>
    <row r="166" spans="1:2" ht="15">
      <c r="A166" s="113" t="s">
        <v>4534</v>
      </c>
      <c r="B166" s="112" t="s">
        <v>11321</v>
      </c>
    </row>
    <row r="167" spans="1:2" ht="15">
      <c r="A167" s="113" t="s">
        <v>4535</v>
      </c>
      <c r="B167" s="112" t="s">
        <v>11321</v>
      </c>
    </row>
    <row r="168" spans="1:2" ht="15">
      <c r="A168" s="113" t="s">
        <v>4536</v>
      </c>
      <c r="B168" s="112" t="s">
        <v>11321</v>
      </c>
    </row>
    <row r="169" spans="1:2" ht="15">
      <c r="A169" s="113" t="s">
        <v>4537</v>
      </c>
      <c r="B169" s="112" t="s">
        <v>11321</v>
      </c>
    </row>
    <row r="170" spans="1:2" ht="15">
      <c r="A170" s="113" t="s">
        <v>4538</v>
      </c>
      <c r="B170" s="112" t="s">
        <v>11321</v>
      </c>
    </row>
    <row r="171" spans="1:2" ht="15">
      <c r="A171" s="113" t="s">
        <v>4539</v>
      </c>
      <c r="B171" s="112" t="s">
        <v>11321</v>
      </c>
    </row>
    <row r="172" spans="1:2" ht="15">
      <c r="A172" s="113" t="s">
        <v>4540</v>
      </c>
      <c r="B172" s="112" t="s">
        <v>11321</v>
      </c>
    </row>
    <row r="173" spans="1:2" ht="15">
      <c r="A173" s="113" t="s">
        <v>4541</v>
      </c>
      <c r="B173" s="112" t="s">
        <v>11321</v>
      </c>
    </row>
    <row r="174" spans="1:2" ht="15">
      <c r="A174" s="113" t="s">
        <v>4542</v>
      </c>
      <c r="B174" s="112" t="s">
        <v>11322</v>
      </c>
    </row>
    <row r="175" spans="1:2" ht="15">
      <c r="A175" s="113" t="s">
        <v>4543</v>
      </c>
      <c r="B175" s="112" t="s">
        <v>11322</v>
      </c>
    </row>
    <row r="176" spans="1:2" ht="15">
      <c r="A176" s="113" t="s">
        <v>4544</v>
      </c>
      <c r="B176" s="112" t="s">
        <v>11322</v>
      </c>
    </row>
    <row r="177" spans="1:2" ht="15">
      <c r="A177" s="113" t="s">
        <v>4545</v>
      </c>
      <c r="B177" s="112" t="s">
        <v>11322</v>
      </c>
    </row>
    <row r="178" spans="1:2" ht="15">
      <c r="A178" s="113" t="s">
        <v>4546</v>
      </c>
      <c r="B178" s="112" t="s">
        <v>11322</v>
      </c>
    </row>
    <row r="179" spans="1:2" ht="15">
      <c r="A179" s="113" t="s">
        <v>4547</v>
      </c>
      <c r="B179" s="112" t="s">
        <v>11322</v>
      </c>
    </row>
    <row r="180" spans="1:2" ht="15">
      <c r="A180" s="113" t="s">
        <v>4548</v>
      </c>
      <c r="B180" s="112" t="s">
        <v>11322</v>
      </c>
    </row>
    <row r="181" spans="1:2" ht="15">
      <c r="A181" s="113" t="s">
        <v>4549</v>
      </c>
      <c r="B181" s="112" t="s">
        <v>11322</v>
      </c>
    </row>
    <row r="182" spans="1:2" ht="15">
      <c r="A182" s="113" t="s">
        <v>4550</v>
      </c>
      <c r="B182" s="112" t="s">
        <v>11322</v>
      </c>
    </row>
    <row r="183" spans="1:2" ht="15">
      <c r="A183" s="113" t="s">
        <v>4551</v>
      </c>
      <c r="B183" s="112" t="s">
        <v>11322</v>
      </c>
    </row>
    <row r="184" spans="1:2" ht="15">
      <c r="A184" s="113" t="s">
        <v>4552</v>
      </c>
      <c r="B184" s="112" t="s">
        <v>11322</v>
      </c>
    </row>
    <row r="185" spans="1:2" ht="15">
      <c r="A185" s="113" t="s">
        <v>4553</v>
      </c>
      <c r="B185" s="112" t="s">
        <v>11322</v>
      </c>
    </row>
    <row r="186" spans="1:2" ht="15">
      <c r="A186" s="113" t="s">
        <v>4554</v>
      </c>
      <c r="B186" s="112" t="s">
        <v>11322</v>
      </c>
    </row>
    <row r="187" spans="1:2" ht="15">
      <c r="A187" s="113" t="s">
        <v>4555</v>
      </c>
      <c r="B187" s="112" t="s">
        <v>11322</v>
      </c>
    </row>
    <row r="188" spans="1:2" ht="15">
      <c r="A188" s="113" t="s">
        <v>4556</v>
      </c>
      <c r="B188" s="112" t="s">
        <v>11322</v>
      </c>
    </row>
    <row r="189" spans="1:2" ht="15">
      <c r="A189" s="113" t="s">
        <v>4557</v>
      </c>
      <c r="B189" s="112" t="s">
        <v>11322</v>
      </c>
    </row>
    <row r="190" spans="1:2" ht="15">
      <c r="A190" s="113" t="s">
        <v>4558</v>
      </c>
      <c r="B190" s="112" t="s">
        <v>11322</v>
      </c>
    </row>
    <row r="191" spans="1:2" ht="15">
      <c r="A191" s="113" t="s">
        <v>4559</v>
      </c>
      <c r="B191" s="112" t="s">
        <v>11322</v>
      </c>
    </row>
    <row r="192" spans="1:2" ht="15">
      <c r="A192" s="113" t="s">
        <v>4560</v>
      </c>
      <c r="B192" s="112" t="s">
        <v>11322</v>
      </c>
    </row>
    <row r="193" spans="1:2" ht="15">
      <c r="A193" s="113" t="s">
        <v>4561</v>
      </c>
      <c r="B193" s="112" t="s">
        <v>11322</v>
      </c>
    </row>
    <row r="194" spans="1:2" ht="15">
      <c r="A194" s="113" t="s">
        <v>4562</v>
      </c>
      <c r="B194" s="112" t="s">
        <v>11322</v>
      </c>
    </row>
    <row r="195" spans="1:2" ht="15">
      <c r="A195" s="113" t="s">
        <v>4563</v>
      </c>
      <c r="B195" s="112" t="s">
        <v>11322</v>
      </c>
    </row>
    <row r="196" spans="1:2" ht="15">
      <c r="A196" s="113" t="s">
        <v>4564</v>
      </c>
      <c r="B196" s="112" t="s">
        <v>11322</v>
      </c>
    </row>
    <row r="197" spans="1:2" ht="15">
      <c r="A197" s="113" t="s">
        <v>4565</v>
      </c>
      <c r="B197" s="112" t="s">
        <v>11322</v>
      </c>
    </row>
    <row r="198" spans="1:2" ht="15">
      <c r="A198" s="113" t="s">
        <v>4566</v>
      </c>
      <c r="B198" s="112" t="s">
        <v>11322</v>
      </c>
    </row>
    <row r="199" spans="1:2" ht="15">
      <c r="A199" s="113" t="s">
        <v>4567</v>
      </c>
      <c r="B199" s="112" t="s">
        <v>11322</v>
      </c>
    </row>
    <row r="200" spans="1:2" ht="15">
      <c r="A200" s="113" t="s">
        <v>4568</v>
      </c>
      <c r="B200" s="112" t="s">
        <v>11322</v>
      </c>
    </row>
    <row r="201" spans="1:2" ht="15">
      <c r="A201" s="113" t="s">
        <v>4569</v>
      </c>
      <c r="B201" s="112" t="s">
        <v>11322</v>
      </c>
    </row>
    <row r="202" spans="1:2" ht="15">
      <c r="A202" s="113" t="s">
        <v>4570</v>
      </c>
      <c r="B202" s="112" t="s">
        <v>11322</v>
      </c>
    </row>
    <row r="203" spans="1:2" ht="15">
      <c r="A203" s="113" t="s">
        <v>4571</v>
      </c>
      <c r="B203" s="112" t="s">
        <v>11322</v>
      </c>
    </row>
    <row r="204" spans="1:2" ht="15">
      <c r="A204" s="113" t="s">
        <v>4572</v>
      </c>
      <c r="B204" s="112" t="s">
        <v>11322</v>
      </c>
    </row>
    <row r="205" spans="1:2" ht="15">
      <c r="A205" s="113" t="s">
        <v>4573</v>
      </c>
      <c r="B205" s="112" t="s">
        <v>11322</v>
      </c>
    </row>
    <row r="206" spans="1:2" ht="15">
      <c r="A206" s="113" t="s">
        <v>4574</v>
      </c>
      <c r="B206" s="112" t="s">
        <v>11322</v>
      </c>
    </row>
    <row r="207" spans="1:2" ht="15">
      <c r="A207" s="113" t="s">
        <v>4575</v>
      </c>
      <c r="B207" s="112" t="s">
        <v>11322</v>
      </c>
    </row>
    <row r="208" spans="1:2" ht="15">
      <c r="A208" s="113" t="s">
        <v>4576</v>
      </c>
      <c r="B208" s="112" t="s">
        <v>11322</v>
      </c>
    </row>
    <row r="209" spans="1:2" ht="15">
      <c r="A209" s="113" t="s">
        <v>4577</v>
      </c>
      <c r="B209" s="112" t="s">
        <v>11322</v>
      </c>
    </row>
    <row r="210" spans="1:2" ht="15">
      <c r="A210" s="113" t="s">
        <v>4578</v>
      </c>
      <c r="B210" s="112" t="s">
        <v>11322</v>
      </c>
    </row>
    <row r="211" spans="1:2" ht="15">
      <c r="A211" s="113" t="s">
        <v>4579</v>
      </c>
      <c r="B211" s="112" t="s">
        <v>11322</v>
      </c>
    </row>
    <row r="212" spans="1:2" ht="15">
      <c r="A212" s="113" t="s">
        <v>4580</v>
      </c>
      <c r="B212" s="112" t="s">
        <v>11322</v>
      </c>
    </row>
    <row r="213" spans="1:2" ht="15">
      <c r="A213" s="113" t="s">
        <v>4581</v>
      </c>
      <c r="B213" s="112" t="s">
        <v>11322</v>
      </c>
    </row>
    <row r="214" spans="1:2" ht="15">
      <c r="A214" s="113" t="s">
        <v>4582</v>
      </c>
      <c r="B214" s="112" t="s">
        <v>11322</v>
      </c>
    </row>
    <row r="215" spans="1:2" ht="15">
      <c r="A215" s="113" t="s">
        <v>4583</v>
      </c>
      <c r="B215" s="112" t="s">
        <v>11322</v>
      </c>
    </row>
    <row r="216" spans="1:2" ht="15">
      <c r="A216" s="113" t="s">
        <v>4584</v>
      </c>
      <c r="B216" s="112" t="s">
        <v>11322</v>
      </c>
    </row>
    <row r="217" spans="1:2" ht="15">
      <c r="A217" s="113" t="s">
        <v>4585</v>
      </c>
      <c r="B217" s="112" t="s">
        <v>11322</v>
      </c>
    </row>
    <row r="218" spans="1:2" ht="15">
      <c r="A218" s="113" t="s">
        <v>4586</v>
      </c>
      <c r="B218" s="112" t="s">
        <v>11322</v>
      </c>
    </row>
    <row r="219" spans="1:2" ht="15">
      <c r="A219" s="113" t="s">
        <v>4587</v>
      </c>
      <c r="B219" s="112" t="s">
        <v>11322</v>
      </c>
    </row>
    <row r="220" spans="1:2" ht="15">
      <c r="A220" s="113" t="s">
        <v>4588</v>
      </c>
      <c r="B220" s="112" t="s">
        <v>11322</v>
      </c>
    </row>
    <row r="221" spans="1:2" ht="15">
      <c r="A221" s="113" t="s">
        <v>4589</v>
      </c>
      <c r="B221" s="112" t="s">
        <v>11322</v>
      </c>
    </row>
    <row r="222" spans="1:2" ht="15">
      <c r="A222" s="113" t="s">
        <v>4590</v>
      </c>
      <c r="B222" s="112" t="s">
        <v>11322</v>
      </c>
    </row>
    <row r="223" spans="1:2" ht="15">
      <c r="A223" s="113" t="s">
        <v>4591</v>
      </c>
      <c r="B223" s="112" t="s">
        <v>11322</v>
      </c>
    </row>
    <row r="224" spans="1:2" ht="15">
      <c r="A224" s="113" t="s">
        <v>4592</v>
      </c>
      <c r="B224" s="112" t="s">
        <v>11322</v>
      </c>
    </row>
    <row r="225" spans="1:2" ht="15">
      <c r="A225" s="113" t="s">
        <v>4593</v>
      </c>
      <c r="B225" s="112" t="s">
        <v>11322</v>
      </c>
    </row>
    <row r="226" spans="1:2" ht="15">
      <c r="A226" s="113" t="s">
        <v>4594</v>
      </c>
      <c r="B226" s="112" t="s">
        <v>11322</v>
      </c>
    </row>
    <row r="227" spans="1:2" ht="15">
      <c r="A227" s="113" t="s">
        <v>4595</v>
      </c>
      <c r="B227" s="112" t="s">
        <v>11322</v>
      </c>
    </row>
    <row r="228" spans="1:2" ht="15">
      <c r="A228" s="113" t="s">
        <v>4596</v>
      </c>
      <c r="B228" s="112" t="s">
        <v>11322</v>
      </c>
    </row>
    <row r="229" spans="1:2" ht="15">
      <c r="A229" s="113" t="s">
        <v>4597</v>
      </c>
      <c r="B229" s="112" t="s">
        <v>11322</v>
      </c>
    </row>
    <row r="230" spans="1:2" ht="15">
      <c r="A230" s="113" t="s">
        <v>4598</v>
      </c>
      <c r="B230" s="112" t="s">
        <v>11322</v>
      </c>
    </row>
    <row r="231" spans="1:2" ht="15">
      <c r="A231" s="113" t="s">
        <v>4599</v>
      </c>
      <c r="B231" s="112" t="s">
        <v>11322</v>
      </c>
    </row>
    <row r="232" spans="1:2" ht="15">
      <c r="A232" s="113" t="s">
        <v>4600</v>
      </c>
      <c r="B232" s="112" t="s">
        <v>11322</v>
      </c>
    </row>
    <row r="233" spans="1:2" ht="15">
      <c r="A233" s="113" t="s">
        <v>4601</v>
      </c>
      <c r="B233" s="112" t="s">
        <v>11322</v>
      </c>
    </row>
    <row r="234" spans="1:2" ht="15">
      <c r="A234" s="113" t="s">
        <v>4602</v>
      </c>
      <c r="B234" s="112" t="s">
        <v>11322</v>
      </c>
    </row>
    <row r="235" spans="1:2" ht="15">
      <c r="A235" s="113" t="s">
        <v>4603</v>
      </c>
      <c r="B235" s="112" t="s">
        <v>11322</v>
      </c>
    </row>
    <row r="236" spans="1:2" ht="15">
      <c r="A236" s="113" t="s">
        <v>4604</v>
      </c>
      <c r="B236" s="112" t="s">
        <v>11322</v>
      </c>
    </row>
    <row r="237" spans="1:2" ht="15">
      <c r="A237" s="113" t="s">
        <v>4605</v>
      </c>
      <c r="B237" s="112" t="s">
        <v>11322</v>
      </c>
    </row>
    <row r="238" spans="1:2" ht="15">
      <c r="A238" s="113" t="s">
        <v>4606</v>
      </c>
      <c r="B238" s="112" t="s">
        <v>11322</v>
      </c>
    </row>
    <row r="239" spans="1:2" ht="15">
      <c r="A239" s="113" t="s">
        <v>4607</v>
      </c>
      <c r="B239" s="112" t="s">
        <v>11322</v>
      </c>
    </row>
    <row r="240" spans="1:2" ht="15">
      <c r="A240" s="113" t="s">
        <v>4608</v>
      </c>
      <c r="B240" s="112" t="s">
        <v>11322</v>
      </c>
    </row>
    <row r="241" spans="1:2" ht="15">
      <c r="A241" s="113" t="s">
        <v>4609</v>
      </c>
      <c r="B241" s="112" t="s">
        <v>11322</v>
      </c>
    </row>
    <row r="242" spans="1:2" ht="15">
      <c r="A242" s="113" t="s">
        <v>4610</v>
      </c>
      <c r="B242" s="112" t="s">
        <v>11322</v>
      </c>
    </row>
    <row r="243" spans="1:2" ht="15">
      <c r="A243" s="113" t="s">
        <v>4611</v>
      </c>
      <c r="B243" s="112" t="s">
        <v>11322</v>
      </c>
    </row>
    <row r="244" spans="1:2" ht="15">
      <c r="A244" s="113" t="s">
        <v>4612</v>
      </c>
      <c r="B244" s="112" t="s">
        <v>11322</v>
      </c>
    </row>
    <row r="245" spans="1:2" ht="15">
      <c r="A245" s="113" t="s">
        <v>4613</v>
      </c>
      <c r="B245" s="112" t="s">
        <v>11322</v>
      </c>
    </row>
    <row r="246" spans="1:2" ht="15">
      <c r="A246" s="113" t="s">
        <v>4614</v>
      </c>
      <c r="B246" s="112" t="s">
        <v>11322</v>
      </c>
    </row>
    <row r="247" spans="1:2" ht="15">
      <c r="A247" s="113" t="s">
        <v>4615</v>
      </c>
      <c r="B247" s="112" t="s">
        <v>11322</v>
      </c>
    </row>
    <row r="248" spans="1:2" ht="15">
      <c r="A248" s="113" t="s">
        <v>4616</v>
      </c>
      <c r="B248" s="112" t="s">
        <v>11322</v>
      </c>
    </row>
    <row r="249" spans="1:2" ht="15">
      <c r="A249" s="113" t="s">
        <v>4617</v>
      </c>
      <c r="B249" s="112" t="s">
        <v>11322</v>
      </c>
    </row>
    <row r="250" spans="1:2" ht="15">
      <c r="A250" s="113" t="s">
        <v>4618</v>
      </c>
      <c r="B250" s="112" t="s">
        <v>11322</v>
      </c>
    </row>
    <row r="251" spans="1:2" ht="15">
      <c r="A251" s="113" t="s">
        <v>4619</v>
      </c>
      <c r="B251" s="112" t="s">
        <v>11322</v>
      </c>
    </row>
    <row r="252" spans="1:2" ht="15">
      <c r="A252" s="113" t="s">
        <v>4620</v>
      </c>
      <c r="B252" s="112" t="s">
        <v>11322</v>
      </c>
    </row>
    <row r="253" spans="1:2" ht="15">
      <c r="A253" s="113" t="s">
        <v>4621</v>
      </c>
      <c r="B253" s="112" t="s">
        <v>11322</v>
      </c>
    </row>
    <row r="254" spans="1:2" ht="15">
      <c r="A254" s="113" t="s">
        <v>4622</v>
      </c>
      <c r="B254" s="112" t="s">
        <v>11322</v>
      </c>
    </row>
    <row r="255" spans="1:2" ht="15">
      <c r="A255" s="113" t="s">
        <v>4623</v>
      </c>
      <c r="B255" s="112" t="s">
        <v>11322</v>
      </c>
    </row>
    <row r="256" spans="1:2" ht="15">
      <c r="A256" s="113" t="s">
        <v>4624</v>
      </c>
      <c r="B256" s="112" t="s">
        <v>11322</v>
      </c>
    </row>
    <row r="257" spans="1:2" ht="15">
      <c r="A257" s="113" t="s">
        <v>4625</v>
      </c>
      <c r="B257" s="112" t="s">
        <v>11322</v>
      </c>
    </row>
    <row r="258" spans="1:2" ht="15">
      <c r="A258" s="113" t="s">
        <v>4626</v>
      </c>
      <c r="B258" s="112" t="s">
        <v>11322</v>
      </c>
    </row>
    <row r="259" spans="1:2" ht="15">
      <c r="A259" s="113" t="s">
        <v>4627</v>
      </c>
      <c r="B259" s="112" t="s">
        <v>11322</v>
      </c>
    </row>
    <row r="260" spans="1:2" ht="15">
      <c r="A260" s="113" t="s">
        <v>4628</v>
      </c>
      <c r="B260" s="112" t="s">
        <v>11322</v>
      </c>
    </row>
    <row r="261" spans="1:2" ht="15">
      <c r="A261" s="113" t="s">
        <v>4629</v>
      </c>
      <c r="B261" s="112" t="s">
        <v>11322</v>
      </c>
    </row>
    <row r="262" spans="1:2" ht="15">
      <c r="A262" s="113" t="s">
        <v>4630</v>
      </c>
      <c r="B262" s="112" t="s">
        <v>11322</v>
      </c>
    </row>
    <row r="263" spans="1:2" ht="15">
      <c r="A263" s="113" t="s">
        <v>4631</v>
      </c>
      <c r="B263" s="112" t="s">
        <v>11322</v>
      </c>
    </row>
    <row r="264" spans="1:2" ht="15">
      <c r="A264" s="113" t="s">
        <v>4632</v>
      </c>
      <c r="B264" s="112" t="s">
        <v>11322</v>
      </c>
    </row>
    <row r="265" spans="1:2" ht="15">
      <c r="A265" s="113" t="s">
        <v>4633</v>
      </c>
      <c r="B265" s="112" t="s">
        <v>11322</v>
      </c>
    </row>
    <row r="266" spans="1:2" ht="15">
      <c r="A266" s="113" t="s">
        <v>4634</v>
      </c>
      <c r="B266" s="112" t="s">
        <v>11322</v>
      </c>
    </row>
    <row r="267" spans="1:2" ht="15">
      <c r="A267" s="113" t="s">
        <v>4635</v>
      </c>
      <c r="B267" s="112" t="s">
        <v>11322</v>
      </c>
    </row>
    <row r="268" spans="1:2" ht="15">
      <c r="A268" s="113" t="s">
        <v>4636</v>
      </c>
      <c r="B268" s="112" t="s">
        <v>11322</v>
      </c>
    </row>
    <row r="269" spans="1:2" ht="15">
      <c r="A269" s="113" t="s">
        <v>4637</v>
      </c>
      <c r="B269" s="112" t="s">
        <v>11322</v>
      </c>
    </row>
    <row r="270" spans="1:2" ht="15">
      <c r="A270" s="113" t="s">
        <v>4638</v>
      </c>
      <c r="B270" s="112" t="s">
        <v>11322</v>
      </c>
    </row>
    <row r="271" spans="1:2" ht="15">
      <c r="A271" s="113" t="s">
        <v>4639</v>
      </c>
      <c r="B271" s="112" t="s">
        <v>11322</v>
      </c>
    </row>
    <row r="272" spans="1:2" ht="15">
      <c r="A272" s="113" t="s">
        <v>4640</v>
      </c>
      <c r="B272" s="112" t="s">
        <v>11322</v>
      </c>
    </row>
    <row r="273" spans="1:2" ht="15">
      <c r="A273" s="113" t="s">
        <v>4641</v>
      </c>
      <c r="B273" s="112" t="s">
        <v>11322</v>
      </c>
    </row>
    <row r="274" spans="1:2" ht="15">
      <c r="A274" s="113" t="s">
        <v>4642</v>
      </c>
      <c r="B274" s="112" t="s">
        <v>11322</v>
      </c>
    </row>
    <row r="275" spans="1:2" ht="15">
      <c r="A275" s="113" t="s">
        <v>4643</v>
      </c>
      <c r="B275" s="112" t="s">
        <v>11322</v>
      </c>
    </row>
    <row r="276" spans="1:2" ht="15">
      <c r="A276" s="113" t="s">
        <v>4644</v>
      </c>
      <c r="B276" s="112" t="s">
        <v>11322</v>
      </c>
    </row>
    <row r="277" spans="1:2" ht="15">
      <c r="A277" s="113" t="s">
        <v>4645</v>
      </c>
      <c r="B277" s="112" t="s">
        <v>11322</v>
      </c>
    </row>
    <row r="278" spans="1:2" ht="15">
      <c r="A278" s="113" t="s">
        <v>4646</v>
      </c>
      <c r="B278" s="112" t="s">
        <v>11322</v>
      </c>
    </row>
    <row r="279" spans="1:2" ht="15">
      <c r="A279" s="113" t="s">
        <v>4647</v>
      </c>
      <c r="B279" s="112" t="s">
        <v>11322</v>
      </c>
    </row>
    <row r="280" spans="1:2" ht="15">
      <c r="A280" s="113" t="s">
        <v>4648</v>
      </c>
      <c r="B280" s="112" t="s">
        <v>11322</v>
      </c>
    </row>
    <row r="281" spans="1:2" ht="15">
      <c r="A281" s="113" t="s">
        <v>4649</v>
      </c>
      <c r="B281" s="112" t="s">
        <v>11322</v>
      </c>
    </row>
    <row r="282" spans="1:2" ht="15">
      <c r="A282" s="113" t="s">
        <v>4650</v>
      </c>
      <c r="B282" s="112" t="s">
        <v>11322</v>
      </c>
    </row>
    <row r="283" spans="1:2" ht="15">
      <c r="A283" s="113" t="s">
        <v>4651</v>
      </c>
      <c r="B283" s="112" t="s">
        <v>11322</v>
      </c>
    </row>
    <row r="284" spans="1:2" ht="15">
      <c r="A284" s="113" t="s">
        <v>4652</v>
      </c>
      <c r="B284" s="112" t="s">
        <v>11322</v>
      </c>
    </row>
    <row r="285" spans="1:2" ht="15">
      <c r="A285" s="113" t="s">
        <v>4653</v>
      </c>
      <c r="B285" s="112" t="s">
        <v>11322</v>
      </c>
    </row>
    <row r="286" spans="1:2" ht="15">
      <c r="A286" s="113" t="s">
        <v>4654</v>
      </c>
      <c r="B286" s="112" t="s">
        <v>11322</v>
      </c>
    </row>
    <row r="287" spans="1:2" ht="15">
      <c r="A287" s="113" t="s">
        <v>4655</v>
      </c>
      <c r="B287" s="112" t="s">
        <v>11322</v>
      </c>
    </row>
    <row r="288" spans="1:2" ht="15">
      <c r="A288" s="113" t="s">
        <v>4656</v>
      </c>
      <c r="B288" s="112" t="s">
        <v>11322</v>
      </c>
    </row>
    <row r="289" spans="1:2" ht="15">
      <c r="A289" s="113" t="s">
        <v>4657</v>
      </c>
      <c r="B289" s="112" t="s">
        <v>11322</v>
      </c>
    </row>
    <row r="290" spans="1:2" ht="15">
      <c r="A290" s="113" t="s">
        <v>4658</v>
      </c>
      <c r="B290" s="112" t="s">
        <v>11322</v>
      </c>
    </row>
    <row r="291" spans="1:2" ht="15">
      <c r="A291" s="113" t="s">
        <v>4659</v>
      </c>
      <c r="B291" s="112" t="s">
        <v>11322</v>
      </c>
    </row>
    <row r="292" spans="1:2" ht="15">
      <c r="A292" s="113" t="s">
        <v>4660</v>
      </c>
      <c r="B292" s="112" t="s">
        <v>11322</v>
      </c>
    </row>
    <row r="293" spans="1:2" ht="15">
      <c r="A293" s="113" t="s">
        <v>4661</v>
      </c>
      <c r="B293" s="112" t="s">
        <v>11322</v>
      </c>
    </row>
    <row r="294" spans="1:2" ht="15">
      <c r="A294" s="113" t="s">
        <v>4662</v>
      </c>
      <c r="B294" s="112" t="s">
        <v>11322</v>
      </c>
    </row>
    <row r="295" spans="1:2" ht="15">
      <c r="A295" s="113" t="s">
        <v>4663</v>
      </c>
      <c r="B295" s="112" t="s">
        <v>11322</v>
      </c>
    </row>
    <row r="296" spans="1:2" ht="15">
      <c r="A296" s="113" t="s">
        <v>4664</v>
      </c>
      <c r="B296" s="112" t="s">
        <v>11322</v>
      </c>
    </row>
    <row r="297" spans="1:2" ht="15">
      <c r="A297" s="113" t="s">
        <v>4665</v>
      </c>
      <c r="B297" s="112" t="s">
        <v>11322</v>
      </c>
    </row>
    <row r="298" spans="1:2" ht="15">
      <c r="A298" s="113" t="s">
        <v>4666</v>
      </c>
      <c r="B298" s="112" t="s">
        <v>11322</v>
      </c>
    </row>
    <row r="299" spans="1:2" ht="15">
      <c r="A299" s="113" t="s">
        <v>4667</v>
      </c>
      <c r="B299" s="112" t="s">
        <v>11322</v>
      </c>
    </row>
    <row r="300" spans="1:2" ht="15">
      <c r="A300" s="113" t="s">
        <v>4668</v>
      </c>
      <c r="B300" s="112" t="s">
        <v>11322</v>
      </c>
    </row>
    <row r="301" spans="1:2" ht="15">
      <c r="A301" s="113" t="s">
        <v>4669</v>
      </c>
      <c r="B301" s="112" t="s">
        <v>11322</v>
      </c>
    </row>
    <row r="302" spans="1:2" ht="15">
      <c r="A302" s="113" t="s">
        <v>4670</v>
      </c>
      <c r="B302" s="112" t="s">
        <v>11322</v>
      </c>
    </row>
    <row r="303" spans="1:2" ht="15">
      <c r="A303" s="113" t="s">
        <v>4671</v>
      </c>
      <c r="B303" s="112" t="s">
        <v>11322</v>
      </c>
    </row>
    <row r="304" spans="1:2" ht="15">
      <c r="A304" s="113" t="s">
        <v>4672</v>
      </c>
      <c r="B304" s="112" t="s">
        <v>11322</v>
      </c>
    </row>
    <row r="305" spans="1:2" ht="15">
      <c r="A305" s="113" t="s">
        <v>4673</v>
      </c>
      <c r="B305" s="112" t="s">
        <v>11322</v>
      </c>
    </row>
    <row r="306" spans="1:2" ht="15">
      <c r="A306" s="113" t="s">
        <v>4674</v>
      </c>
      <c r="B306" s="112" t="s">
        <v>11322</v>
      </c>
    </row>
    <row r="307" spans="1:2" ht="15">
      <c r="A307" s="113" t="s">
        <v>4675</v>
      </c>
      <c r="B307" s="112" t="s">
        <v>11322</v>
      </c>
    </row>
    <row r="308" spans="1:2" ht="15">
      <c r="A308" s="113" t="s">
        <v>4676</v>
      </c>
      <c r="B308" s="112" t="s">
        <v>11322</v>
      </c>
    </row>
    <row r="309" spans="1:2" ht="15">
      <c r="A309" s="113" t="s">
        <v>4677</v>
      </c>
      <c r="B309" s="112" t="s">
        <v>11322</v>
      </c>
    </row>
    <row r="310" spans="1:2" ht="15">
      <c r="A310" s="113" t="s">
        <v>4678</v>
      </c>
      <c r="B310" s="112" t="s">
        <v>11322</v>
      </c>
    </row>
    <row r="311" spans="1:2" ht="15">
      <c r="A311" s="113" t="s">
        <v>4679</v>
      </c>
      <c r="B311" s="112" t="s">
        <v>11322</v>
      </c>
    </row>
    <row r="312" spans="1:2" ht="15">
      <c r="A312" s="113" t="s">
        <v>4680</v>
      </c>
      <c r="B312" s="112" t="s">
        <v>11322</v>
      </c>
    </row>
    <row r="313" spans="1:2" ht="15">
      <c r="A313" s="113" t="s">
        <v>4681</v>
      </c>
      <c r="B313" s="112" t="s">
        <v>11322</v>
      </c>
    </row>
    <row r="314" spans="1:2" ht="15">
      <c r="A314" s="113" t="s">
        <v>4682</v>
      </c>
      <c r="B314" s="112" t="s">
        <v>11322</v>
      </c>
    </row>
    <row r="315" spans="1:2" ht="15">
      <c r="A315" s="113" t="s">
        <v>4683</v>
      </c>
      <c r="B315" s="112" t="s">
        <v>11322</v>
      </c>
    </row>
    <row r="316" spans="1:2" ht="15">
      <c r="A316" s="113" t="s">
        <v>4684</v>
      </c>
      <c r="B316" s="112" t="s">
        <v>11322</v>
      </c>
    </row>
    <row r="317" spans="1:2" ht="15">
      <c r="A317" s="113" t="s">
        <v>4685</v>
      </c>
      <c r="B317" s="112" t="s">
        <v>11322</v>
      </c>
    </row>
    <row r="318" spans="1:2" ht="15">
      <c r="A318" s="113" t="s">
        <v>4686</v>
      </c>
      <c r="B318" s="112" t="s">
        <v>11322</v>
      </c>
    </row>
    <row r="319" spans="1:2" ht="15">
      <c r="A319" s="113" t="s">
        <v>4687</v>
      </c>
      <c r="B319" s="112" t="s">
        <v>11322</v>
      </c>
    </row>
    <row r="320" spans="1:2" ht="15">
      <c r="A320" s="113" t="s">
        <v>4688</v>
      </c>
      <c r="B320" s="112" t="s">
        <v>11322</v>
      </c>
    </row>
    <row r="321" spans="1:2" ht="15">
      <c r="A321" s="113" t="s">
        <v>4689</v>
      </c>
      <c r="B321" s="112" t="s">
        <v>11322</v>
      </c>
    </row>
    <row r="322" spans="1:2" ht="15">
      <c r="A322" s="113" t="s">
        <v>4690</v>
      </c>
      <c r="B322" s="112" t="s">
        <v>11322</v>
      </c>
    </row>
    <row r="323" spans="1:2" ht="15">
      <c r="A323" s="113" t="s">
        <v>4691</v>
      </c>
      <c r="B323" s="112" t="s">
        <v>11322</v>
      </c>
    </row>
    <row r="324" spans="1:2" ht="15">
      <c r="A324" s="113" t="s">
        <v>4692</v>
      </c>
      <c r="B324" s="112" t="s">
        <v>11322</v>
      </c>
    </row>
    <row r="325" spans="1:2" ht="15">
      <c r="A325" s="113" t="s">
        <v>4693</v>
      </c>
      <c r="B325" s="112" t="s">
        <v>11322</v>
      </c>
    </row>
    <row r="326" spans="1:2" ht="15">
      <c r="A326" s="113" t="s">
        <v>4694</v>
      </c>
      <c r="B326" s="112" t="s">
        <v>11322</v>
      </c>
    </row>
    <row r="327" spans="1:2" ht="15">
      <c r="A327" s="113" t="s">
        <v>4695</v>
      </c>
      <c r="B327" s="112" t="s">
        <v>11322</v>
      </c>
    </row>
    <row r="328" spans="1:2" ht="15">
      <c r="A328" s="113" t="s">
        <v>4696</v>
      </c>
      <c r="B328" s="112" t="s">
        <v>11322</v>
      </c>
    </row>
    <row r="329" spans="1:2" ht="15">
      <c r="A329" s="113" t="s">
        <v>4697</v>
      </c>
      <c r="B329" s="112" t="s">
        <v>11322</v>
      </c>
    </row>
    <row r="330" spans="1:2" ht="15">
      <c r="A330" s="113" t="s">
        <v>4698</v>
      </c>
      <c r="B330" s="112" t="s">
        <v>11322</v>
      </c>
    </row>
    <row r="331" spans="1:2" ht="15">
      <c r="A331" s="113" t="s">
        <v>4699</v>
      </c>
      <c r="B331" s="112" t="s">
        <v>11322</v>
      </c>
    </row>
    <row r="332" spans="1:2" ht="15">
      <c r="A332" s="113" t="s">
        <v>4700</v>
      </c>
      <c r="B332" s="112" t="s">
        <v>11322</v>
      </c>
    </row>
    <row r="333" spans="1:2" ht="15">
      <c r="A333" s="113" t="s">
        <v>4701</v>
      </c>
      <c r="B333" s="112" t="s">
        <v>11322</v>
      </c>
    </row>
    <row r="334" spans="1:2" ht="15">
      <c r="A334" s="113" t="s">
        <v>4702</v>
      </c>
      <c r="B334" s="112" t="s">
        <v>11322</v>
      </c>
    </row>
    <row r="335" spans="1:2" ht="15">
      <c r="A335" s="113" t="s">
        <v>4703</v>
      </c>
      <c r="B335" s="112" t="s">
        <v>11322</v>
      </c>
    </row>
    <row r="336" spans="1:2" ht="15">
      <c r="A336" s="113" t="s">
        <v>4704</v>
      </c>
      <c r="B336" s="112" t="s">
        <v>11322</v>
      </c>
    </row>
    <row r="337" spans="1:2" ht="15">
      <c r="A337" s="113" t="s">
        <v>4705</v>
      </c>
      <c r="B337" s="112" t="s">
        <v>11322</v>
      </c>
    </row>
    <row r="338" spans="1:2" ht="15">
      <c r="A338" s="113" t="s">
        <v>4706</v>
      </c>
      <c r="B338" s="112" t="s">
        <v>11322</v>
      </c>
    </row>
    <row r="339" spans="1:2" ht="15">
      <c r="A339" s="113" t="s">
        <v>4707</v>
      </c>
      <c r="B339" s="112" t="s">
        <v>11322</v>
      </c>
    </row>
    <row r="340" spans="1:2" ht="15">
      <c r="A340" s="113" t="s">
        <v>4708</v>
      </c>
      <c r="B340" s="112" t="s">
        <v>11322</v>
      </c>
    </row>
    <row r="341" spans="1:2" ht="15">
      <c r="A341" s="113" t="s">
        <v>4709</v>
      </c>
      <c r="B341" s="112" t="s">
        <v>11322</v>
      </c>
    </row>
    <row r="342" spans="1:2" ht="15">
      <c r="A342" s="113" t="s">
        <v>4710</v>
      </c>
      <c r="B342" s="112" t="s">
        <v>11322</v>
      </c>
    </row>
    <row r="343" spans="1:2" ht="15">
      <c r="A343" s="113" t="s">
        <v>4711</v>
      </c>
      <c r="B343" s="112" t="s">
        <v>11322</v>
      </c>
    </row>
    <row r="344" spans="1:2" ht="15">
      <c r="A344" s="113" t="s">
        <v>4712</v>
      </c>
      <c r="B344" s="112" t="s">
        <v>11322</v>
      </c>
    </row>
    <row r="345" spans="1:2" ht="15">
      <c r="A345" s="113" t="s">
        <v>4713</v>
      </c>
      <c r="B345" s="112" t="s">
        <v>11322</v>
      </c>
    </row>
    <row r="346" spans="1:2" ht="15">
      <c r="A346" s="113" t="s">
        <v>4714</v>
      </c>
      <c r="B346" s="112" t="s">
        <v>11322</v>
      </c>
    </row>
    <row r="347" spans="1:2" ht="15">
      <c r="A347" s="113" t="s">
        <v>4715</v>
      </c>
      <c r="B347" s="112" t="s">
        <v>11322</v>
      </c>
    </row>
    <row r="348" spans="1:2" ht="15">
      <c r="A348" s="113" t="s">
        <v>4716</v>
      </c>
      <c r="B348" s="112" t="s">
        <v>11322</v>
      </c>
    </row>
    <row r="349" spans="1:2" ht="15">
      <c r="A349" s="113" t="s">
        <v>4717</v>
      </c>
      <c r="B349" s="112" t="s">
        <v>11322</v>
      </c>
    </row>
    <row r="350" spans="1:2" ht="15">
      <c r="A350" s="113" t="s">
        <v>4718</v>
      </c>
      <c r="B350" s="112" t="s">
        <v>11322</v>
      </c>
    </row>
    <row r="351" spans="1:2" ht="15">
      <c r="A351" s="113" t="s">
        <v>4719</v>
      </c>
      <c r="B351" s="112" t="s">
        <v>11322</v>
      </c>
    </row>
    <row r="352" spans="1:2" ht="15">
      <c r="A352" s="113" t="s">
        <v>4720</v>
      </c>
      <c r="B352" s="112" t="s">
        <v>11322</v>
      </c>
    </row>
    <row r="353" spans="1:2" ht="15">
      <c r="A353" s="113" t="s">
        <v>4721</v>
      </c>
      <c r="B353" s="112" t="s">
        <v>11322</v>
      </c>
    </row>
    <row r="354" spans="1:2" ht="15">
      <c r="A354" s="113" t="s">
        <v>4722</v>
      </c>
      <c r="B354" s="112" t="s">
        <v>11322</v>
      </c>
    </row>
    <row r="355" spans="1:2" ht="15">
      <c r="A355" s="113" t="s">
        <v>4723</v>
      </c>
      <c r="B355" s="112" t="s">
        <v>11322</v>
      </c>
    </row>
    <row r="356" spans="1:2" ht="15">
      <c r="A356" s="113" t="s">
        <v>4724</v>
      </c>
      <c r="B356" s="112" t="s">
        <v>11322</v>
      </c>
    </row>
    <row r="357" spans="1:2" ht="15">
      <c r="A357" s="113" t="s">
        <v>4725</v>
      </c>
      <c r="B357" s="112" t="s">
        <v>11322</v>
      </c>
    </row>
    <row r="358" spans="1:2" ht="15">
      <c r="A358" s="113" t="s">
        <v>4726</v>
      </c>
      <c r="B358" s="112" t="s">
        <v>11322</v>
      </c>
    </row>
    <row r="359" spans="1:2" ht="15">
      <c r="A359" s="113" t="s">
        <v>4727</v>
      </c>
      <c r="B359" s="112" t="s">
        <v>11322</v>
      </c>
    </row>
    <row r="360" spans="1:2" ht="15">
      <c r="A360" s="113" t="s">
        <v>4728</v>
      </c>
      <c r="B360" s="112" t="s">
        <v>11322</v>
      </c>
    </row>
    <row r="361" spans="1:2" ht="15">
      <c r="A361" s="113" t="s">
        <v>4729</v>
      </c>
      <c r="B361" s="112" t="s">
        <v>11322</v>
      </c>
    </row>
    <row r="362" spans="1:2" ht="15">
      <c r="A362" s="113" t="s">
        <v>4730</v>
      </c>
      <c r="B362" s="112" t="s">
        <v>11322</v>
      </c>
    </row>
    <row r="363" spans="1:2" ht="15">
      <c r="A363" s="113" t="s">
        <v>4731</v>
      </c>
      <c r="B363" s="112" t="s">
        <v>11322</v>
      </c>
    </row>
    <row r="364" spans="1:2" ht="15">
      <c r="A364" s="113" t="s">
        <v>4732</v>
      </c>
      <c r="B364" s="112" t="s">
        <v>11322</v>
      </c>
    </row>
    <row r="365" spans="1:2" ht="15">
      <c r="A365" s="113" t="s">
        <v>4733</v>
      </c>
      <c r="B365" s="112" t="s">
        <v>11322</v>
      </c>
    </row>
    <row r="366" spans="1:2" ht="15">
      <c r="A366" s="113" t="s">
        <v>4734</v>
      </c>
      <c r="B366" s="112" t="s">
        <v>11322</v>
      </c>
    </row>
    <row r="367" spans="1:2" ht="15">
      <c r="A367" s="113" t="s">
        <v>4735</v>
      </c>
      <c r="B367" s="112" t="s">
        <v>11322</v>
      </c>
    </row>
    <row r="368" spans="1:2" ht="15">
      <c r="A368" s="113" t="s">
        <v>4736</v>
      </c>
      <c r="B368" s="112" t="s">
        <v>11322</v>
      </c>
    </row>
    <row r="369" spans="1:2" ht="15">
      <c r="A369" s="113" t="s">
        <v>4737</v>
      </c>
      <c r="B369" s="112" t="s">
        <v>11322</v>
      </c>
    </row>
    <row r="370" spans="1:2" ht="15">
      <c r="A370" s="113" t="s">
        <v>4738</v>
      </c>
      <c r="B370" s="112" t="s">
        <v>11322</v>
      </c>
    </row>
    <row r="371" spans="1:2" ht="15">
      <c r="A371" s="113" t="s">
        <v>4739</v>
      </c>
      <c r="B371" s="112" t="s">
        <v>11322</v>
      </c>
    </row>
    <row r="372" spans="1:2" ht="15">
      <c r="A372" s="113" t="s">
        <v>4740</v>
      </c>
      <c r="B372" s="112" t="s">
        <v>11322</v>
      </c>
    </row>
    <row r="373" spans="1:2" ht="15">
      <c r="A373" s="113" t="s">
        <v>4741</v>
      </c>
      <c r="B373" s="112" t="s">
        <v>11322</v>
      </c>
    </row>
    <row r="374" spans="1:2" ht="15">
      <c r="A374" s="113" t="s">
        <v>4742</v>
      </c>
      <c r="B374" s="112" t="s">
        <v>11322</v>
      </c>
    </row>
    <row r="375" spans="1:2" ht="15">
      <c r="A375" s="113" t="s">
        <v>4743</v>
      </c>
      <c r="B375" s="112" t="s">
        <v>11322</v>
      </c>
    </row>
    <row r="376" spans="1:2" ht="15">
      <c r="A376" s="113" t="s">
        <v>4744</v>
      </c>
      <c r="B376" s="112" t="s">
        <v>11322</v>
      </c>
    </row>
    <row r="377" spans="1:2" ht="15">
      <c r="A377" s="113" t="s">
        <v>4745</v>
      </c>
      <c r="B377" s="112" t="s">
        <v>11322</v>
      </c>
    </row>
    <row r="378" spans="1:2" ht="15">
      <c r="A378" s="113" t="s">
        <v>4746</v>
      </c>
      <c r="B378" s="112" t="s">
        <v>11322</v>
      </c>
    </row>
    <row r="379" spans="1:2" ht="15">
      <c r="A379" s="113" t="s">
        <v>4747</v>
      </c>
      <c r="B379" s="112" t="s">
        <v>11322</v>
      </c>
    </row>
    <row r="380" spans="1:2" ht="15">
      <c r="A380" s="113" t="s">
        <v>4748</v>
      </c>
      <c r="B380" s="112" t="s">
        <v>11322</v>
      </c>
    </row>
    <row r="381" spans="1:2" ht="15">
      <c r="A381" s="113" t="s">
        <v>4749</v>
      </c>
      <c r="B381" s="112" t="s">
        <v>11322</v>
      </c>
    </row>
    <row r="382" spans="1:2" ht="15">
      <c r="A382" s="113" t="s">
        <v>4750</v>
      </c>
      <c r="B382" s="112" t="s">
        <v>11322</v>
      </c>
    </row>
    <row r="383" spans="1:2" ht="15">
      <c r="A383" s="113" t="s">
        <v>4751</v>
      </c>
      <c r="B383" s="112" t="s">
        <v>11322</v>
      </c>
    </row>
    <row r="384" spans="1:2" ht="15">
      <c r="A384" s="113" t="s">
        <v>4752</v>
      </c>
      <c r="B384" s="112" t="s">
        <v>11322</v>
      </c>
    </row>
    <row r="385" spans="1:2" ht="15">
      <c r="A385" s="113" t="s">
        <v>4753</v>
      </c>
      <c r="B385" s="112" t="s">
        <v>11322</v>
      </c>
    </row>
    <row r="386" spans="1:2" ht="15">
      <c r="A386" s="113" t="s">
        <v>4754</v>
      </c>
      <c r="B386" s="112" t="s">
        <v>11322</v>
      </c>
    </row>
    <row r="387" spans="1:2" ht="15">
      <c r="A387" s="113" t="s">
        <v>4755</v>
      </c>
      <c r="B387" s="112" t="s">
        <v>11322</v>
      </c>
    </row>
    <row r="388" spans="1:2" ht="15">
      <c r="A388" s="113" t="s">
        <v>4756</v>
      </c>
      <c r="B388" s="112" t="s">
        <v>11322</v>
      </c>
    </row>
    <row r="389" spans="1:2" ht="15">
      <c r="A389" s="113" t="s">
        <v>4757</v>
      </c>
      <c r="B389" s="112" t="s">
        <v>11322</v>
      </c>
    </row>
    <row r="390" spans="1:2" ht="15">
      <c r="A390" s="113" t="s">
        <v>4758</v>
      </c>
      <c r="B390" s="112" t="s">
        <v>11322</v>
      </c>
    </row>
    <row r="391" spans="1:2" ht="15">
      <c r="A391" s="113" t="s">
        <v>4759</v>
      </c>
      <c r="B391" s="112" t="s">
        <v>11322</v>
      </c>
    </row>
    <row r="392" spans="1:2" ht="15">
      <c r="A392" s="113" t="s">
        <v>4760</v>
      </c>
      <c r="B392" s="112" t="s">
        <v>11322</v>
      </c>
    </row>
    <row r="393" spans="1:2" ht="15">
      <c r="A393" s="113" t="s">
        <v>4761</v>
      </c>
      <c r="B393" s="112" t="s">
        <v>11322</v>
      </c>
    </row>
    <row r="394" spans="1:2" ht="15">
      <c r="A394" s="113" t="s">
        <v>4762</v>
      </c>
      <c r="B394" s="112" t="s">
        <v>11322</v>
      </c>
    </row>
    <row r="395" spans="1:2" ht="15">
      <c r="A395" s="113" t="s">
        <v>4763</v>
      </c>
      <c r="B395" s="112" t="s">
        <v>11322</v>
      </c>
    </row>
    <row r="396" spans="1:2" ht="15">
      <c r="A396" s="113" t="s">
        <v>4764</v>
      </c>
      <c r="B396" s="112" t="s">
        <v>11322</v>
      </c>
    </row>
    <row r="397" spans="1:2" ht="15">
      <c r="A397" s="113" t="s">
        <v>4765</v>
      </c>
      <c r="B397" s="112" t="s">
        <v>11322</v>
      </c>
    </row>
    <row r="398" spans="1:2" ht="15">
      <c r="A398" s="113" t="s">
        <v>4766</v>
      </c>
      <c r="B398" s="112" t="s">
        <v>11322</v>
      </c>
    </row>
    <row r="399" spans="1:2" ht="15">
      <c r="A399" s="113" t="s">
        <v>4767</v>
      </c>
      <c r="B399" s="112" t="s">
        <v>11322</v>
      </c>
    </row>
    <row r="400" spans="1:2" ht="15">
      <c r="A400" s="113" t="s">
        <v>4768</v>
      </c>
      <c r="B400" s="112" t="s">
        <v>11322</v>
      </c>
    </row>
    <row r="401" spans="1:2" ht="15">
      <c r="A401" s="113" t="s">
        <v>3960</v>
      </c>
      <c r="B401" s="112" t="s">
        <v>11322</v>
      </c>
    </row>
    <row r="402" spans="1:2" ht="15">
      <c r="A402" s="113" t="s">
        <v>4769</v>
      </c>
      <c r="B402" s="112" t="s">
        <v>11322</v>
      </c>
    </row>
    <row r="403" spans="1:2" ht="15">
      <c r="A403" s="113" t="s">
        <v>4770</v>
      </c>
      <c r="B403" s="112" t="s">
        <v>11322</v>
      </c>
    </row>
    <row r="404" spans="1:2" ht="15">
      <c r="A404" s="113" t="s">
        <v>4771</v>
      </c>
      <c r="B404" s="112" t="s">
        <v>11322</v>
      </c>
    </row>
    <row r="405" spans="1:2" ht="15">
      <c r="A405" s="113" t="s">
        <v>4772</v>
      </c>
      <c r="B405" s="112" t="s">
        <v>11322</v>
      </c>
    </row>
    <row r="406" spans="1:2" ht="15">
      <c r="A406" s="113" t="s">
        <v>4773</v>
      </c>
      <c r="B406" s="112" t="s">
        <v>11322</v>
      </c>
    </row>
    <row r="407" spans="1:2" ht="15">
      <c r="A407" s="113" t="s">
        <v>4774</v>
      </c>
      <c r="B407" s="112" t="s">
        <v>11322</v>
      </c>
    </row>
    <row r="408" spans="1:2" ht="15">
      <c r="A408" s="113" t="s">
        <v>4775</v>
      </c>
      <c r="B408" s="112" t="s">
        <v>11322</v>
      </c>
    </row>
    <row r="409" spans="1:2" ht="15">
      <c r="A409" s="113" t="s">
        <v>4776</v>
      </c>
      <c r="B409" s="112" t="s">
        <v>11322</v>
      </c>
    </row>
    <row r="410" spans="1:2" ht="15">
      <c r="A410" s="113" t="s">
        <v>4777</v>
      </c>
      <c r="B410" s="112" t="s">
        <v>11322</v>
      </c>
    </row>
    <row r="411" spans="1:2" ht="15">
      <c r="A411" s="113" t="s">
        <v>4778</v>
      </c>
      <c r="B411" s="112" t="s">
        <v>11322</v>
      </c>
    </row>
    <row r="412" spans="1:2" ht="15">
      <c r="A412" s="113" t="s">
        <v>4779</v>
      </c>
      <c r="B412" s="112" t="s">
        <v>11322</v>
      </c>
    </row>
    <row r="413" spans="1:2" ht="15">
      <c r="A413" s="113" t="s">
        <v>4780</v>
      </c>
      <c r="B413" s="112" t="s">
        <v>11322</v>
      </c>
    </row>
    <row r="414" spans="1:2" ht="15">
      <c r="A414" s="113" t="s">
        <v>4781</v>
      </c>
      <c r="B414" s="112" t="s">
        <v>11322</v>
      </c>
    </row>
    <row r="415" spans="1:2" ht="15">
      <c r="A415" s="113" t="s">
        <v>4782</v>
      </c>
      <c r="B415" s="112" t="s">
        <v>11322</v>
      </c>
    </row>
    <row r="416" spans="1:2" ht="15">
      <c r="A416" s="113" t="s">
        <v>4783</v>
      </c>
      <c r="B416" s="112" t="s">
        <v>11322</v>
      </c>
    </row>
    <row r="417" spans="1:2" ht="15">
      <c r="A417" s="113" t="s">
        <v>4784</v>
      </c>
      <c r="B417" s="112" t="s">
        <v>11322</v>
      </c>
    </row>
    <row r="418" spans="1:2" ht="15">
      <c r="A418" s="113" t="s">
        <v>4785</v>
      </c>
      <c r="B418" s="112" t="s">
        <v>11322</v>
      </c>
    </row>
    <row r="419" spans="1:2" ht="15">
      <c r="A419" s="113" t="s">
        <v>4786</v>
      </c>
      <c r="B419" s="112" t="s">
        <v>11322</v>
      </c>
    </row>
    <row r="420" spans="1:2" ht="15">
      <c r="A420" s="113" t="s">
        <v>4787</v>
      </c>
      <c r="B420" s="112" t="s">
        <v>11322</v>
      </c>
    </row>
    <row r="421" spans="1:2" ht="15">
      <c r="A421" s="113" t="s">
        <v>4788</v>
      </c>
      <c r="B421" s="112" t="s">
        <v>11322</v>
      </c>
    </row>
    <row r="422" spans="1:2" ht="15">
      <c r="A422" s="113" t="s">
        <v>4789</v>
      </c>
      <c r="B422" s="112" t="s">
        <v>11322</v>
      </c>
    </row>
    <row r="423" spans="1:2" ht="15">
      <c r="A423" s="113" t="s">
        <v>4790</v>
      </c>
      <c r="B423" s="112" t="s">
        <v>11322</v>
      </c>
    </row>
    <row r="424" spans="1:2" ht="15">
      <c r="A424" s="113" t="s">
        <v>4791</v>
      </c>
      <c r="B424" s="112" t="s">
        <v>11322</v>
      </c>
    </row>
    <row r="425" spans="1:2" ht="15">
      <c r="A425" s="113" t="s">
        <v>4792</v>
      </c>
      <c r="B425" s="112" t="s">
        <v>11322</v>
      </c>
    </row>
    <row r="426" spans="1:2" ht="15">
      <c r="A426" s="113" t="s">
        <v>4793</v>
      </c>
      <c r="B426" s="112" t="s">
        <v>11322</v>
      </c>
    </row>
    <row r="427" spans="1:2" ht="15">
      <c r="A427" s="113" t="s">
        <v>4794</v>
      </c>
      <c r="B427" s="112" t="s">
        <v>11322</v>
      </c>
    </row>
    <row r="428" spans="1:2" ht="15">
      <c r="A428" s="113" t="s">
        <v>4795</v>
      </c>
      <c r="B428" s="112" t="s">
        <v>11322</v>
      </c>
    </row>
    <row r="429" spans="1:2" ht="15">
      <c r="A429" s="113" t="s">
        <v>4796</v>
      </c>
      <c r="B429" s="112" t="s">
        <v>11322</v>
      </c>
    </row>
    <row r="430" spans="1:2" ht="15">
      <c r="A430" s="113" t="s">
        <v>4797</v>
      </c>
      <c r="B430" s="112" t="s">
        <v>11322</v>
      </c>
    </row>
    <row r="431" spans="1:2" ht="15">
      <c r="A431" s="113" t="s">
        <v>4798</v>
      </c>
      <c r="B431" s="112" t="s">
        <v>11322</v>
      </c>
    </row>
    <row r="432" spans="1:2" ht="15">
      <c r="A432" s="113" t="s">
        <v>4799</v>
      </c>
      <c r="B432" s="112" t="s">
        <v>11322</v>
      </c>
    </row>
    <row r="433" spans="1:2" ht="15">
      <c r="A433" s="113" t="s">
        <v>4800</v>
      </c>
      <c r="B433" s="112" t="s">
        <v>11322</v>
      </c>
    </row>
    <row r="434" spans="1:2" ht="15">
      <c r="A434" s="113" t="s">
        <v>4801</v>
      </c>
      <c r="B434" s="112" t="s">
        <v>11322</v>
      </c>
    </row>
    <row r="435" spans="1:2" ht="15">
      <c r="A435" s="113" t="s">
        <v>4802</v>
      </c>
      <c r="B435" s="112" t="s">
        <v>11322</v>
      </c>
    </row>
    <row r="436" spans="1:2" ht="15">
      <c r="A436" s="113" t="s">
        <v>4803</v>
      </c>
      <c r="B436" s="112" t="s">
        <v>11322</v>
      </c>
    </row>
    <row r="437" spans="1:2" ht="15">
      <c r="A437" s="113" t="s">
        <v>4804</v>
      </c>
      <c r="B437" s="112" t="s">
        <v>11322</v>
      </c>
    </row>
    <row r="438" spans="1:2" ht="15">
      <c r="A438" s="113" t="s">
        <v>4805</v>
      </c>
      <c r="B438" s="112" t="s">
        <v>11322</v>
      </c>
    </row>
    <row r="439" spans="1:2" ht="15">
      <c r="A439" s="113" t="s">
        <v>4806</v>
      </c>
      <c r="B439" s="112" t="s">
        <v>11322</v>
      </c>
    </row>
    <row r="440" spans="1:2" ht="15">
      <c r="A440" s="113" t="s">
        <v>4807</v>
      </c>
      <c r="B440" s="112" t="s">
        <v>11322</v>
      </c>
    </row>
    <row r="441" spans="1:2" ht="15">
      <c r="A441" s="113" t="s">
        <v>4808</v>
      </c>
      <c r="B441" s="112" t="s">
        <v>11322</v>
      </c>
    </row>
    <row r="442" spans="1:2" ht="15">
      <c r="A442" s="113" t="s">
        <v>4809</v>
      </c>
      <c r="B442" s="112" t="s">
        <v>11322</v>
      </c>
    </row>
    <row r="443" spans="1:2" ht="15">
      <c r="A443" s="113" t="s">
        <v>4810</v>
      </c>
      <c r="B443" s="112" t="s">
        <v>11322</v>
      </c>
    </row>
    <row r="444" spans="1:2" ht="15">
      <c r="A444" s="113" t="s">
        <v>4811</v>
      </c>
      <c r="B444" s="112" t="s">
        <v>11322</v>
      </c>
    </row>
    <row r="445" spans="1:2" ht="15">
      <c r="A445" s="113" t="s">
        <v>4812</v>
      </c>
      <c r="B445" s="112" t="s">
        <v>11322</v>
      </c>
    </row>
    <row r="446" spans="1:2" ht="15">
      <c r="A446" s="113" t="s">
        <v>4813</v>
      </c>
      <c r="B446" s="112" t="s">
        <v>11322</v>
      </c>
    </row>
    <row r="447" spans="1:2" ht="15">
      <c r="A447" s="113" t="s">
        <v>4814</v>
      </c>
      <c r="B447" s="112" t="s">
        <v>11322</v>
      </c>
    </row>
    <row r="448" spans="1:2" ht="15">
      <c r="A448" s="113" t="s">
        <v>4815</v>
      </c>
      <c r="B448" s="112" t="s">
        <v>11322</v>
      </c>
    </row>
    <row r="449" spans="1:2" ht="15">
      <c r="A449" s="113" t="s">
        <v>4816</v>
      </c>
      <c r="B449" s="112" t="s">
        <v>11322</v>
      </c>
    </row>
    <row r="450" spans="1:2" ht="15">
      <c r="A450" s="113" t="s">
        <v>4817</v>
      </c>
      <c r="B450" s="112" t="s">
        <v>11322</v>
      </c>
    </row>
    <row r="451" spans="1:2" ht="15">
      <c r="A451" s="113" t="s">
        <v>4818</v>
      </c>
      <c r="B451" s="112" t="s">
        <v>11322</v>
      </c>
    </row>
    <row r="452" spans="1:2" ht="15">
      <c r="A452" s="113" t="s">
        <v>4819</v>
      </c>
      <c r="B452" s="112" t="s">
        <v>11322</v>
      </c>
    </row>
    <row r="453" spans="1:2" ht="15">
      <c r="A453" s="113" t="s">
        <v>4820</v>
      </c>
      <c r="B453" s="112" t="s">
        <v>11322</v>
      </c>
    </row>
    <row r="454" spans="1:2" ht="15">
      <c r="A454" s="113" t="s">
        <v>4821</v>
      </c>
      <c r="B454" s="112" t="s">
        <v>11322</v>
      </c>
    </row>
    <row r="455" spans="1:2" ht="15">
      <c r="A455" s="113" t="s">
        <v>4822</v>
      </c>
      <c r="B455" s="112" t="s">
        <v>11322</v>
      </c>
    </row>
    <row r="456" spans="1:2" ht="15">
      <c r="A456" s="113" t="s">
        <v>4823</v>
      </c>
      <c r="B456" s="112" t="s">
        <v>11322</v>
      </c>
    </row>
    <row r="457" spans="1:2" ht="15">
      <c r="A457" s="113" t="s">
        <v>4824</v>
      </c>
      <c r="B457" s="112" t="s">
        <v>11322</v>
      </c>
    </row>
    <row r="458" spans="1:2" ht="15">
      <c r="A458" s="113" t="s">
        <v>4825</v>
      </c>
      <c r="B458" s="112" t="s">
        <v>11322</v>
      </c>
    </row>
    <row r="459" spans="1:2" ht="15">
      <c r="A459" s="113" t="s">
        <v>4826</v>
      </c>
      <c r="B459" s="112" t="s">
        <v>11322</v>
      </c>
    </row>
    <row r="460" spans="1:2" ht="15">
      <c r="A460" s="113" t="s">
        <v>4827</v>
      </c>
      <c r="B460" s="112" t="s">
        <v>11322</v>
      </c>
    </row>
    <row r="461" spans="1:2" ht="15">
      <c r="A461" s="113" t="s">
        <v>4828</v>
      </c>
      <c r="B461" s="112" t="s">
        <v>11322</v>
      </c>
    </row>
    <row r="462" spans="1:2" ht="15">
      <c r="A462" s="113" t="s">
        <v>4829</v>
      </c>
      <c r="B462" s="112" t="s">
        <v>11322</v>
      </c>
    </row>
    <row r="463" spans="1:2" ht="15">
      <c r="A463" s="113" t="s">
        <v>4830</v>
      </c>
      <c r="B463" s="112" t="s">
        <v>11322</v>
      </c>
    </row>
    <row r="464" spans="1:2" ht="15">
      <c r="A464" s="113" t="s">
        <v>4831</v>
      </c>
      <c r="B464" s="112" t="s">
        <v>11322</v>
      </c>
    </row>
    <row r="465" spans="1:2" ht="15">
      <c r="A465" s="113" t="s">
        <v>4832</v>
      </c>
      <c r="B465" s="112" t="s">
        <v>11322</v>
      </c>
    </row>
    <row r="466" spans="1:2" ht="15">
      <c r="A466" s="113" t="s">
        <v>4833</v>
      </c>
      <c r="B466" s="112" t="s">
        <v>11322</v>
      </c>
    </row>
    <row r="467" spans="1:2" ht="15">
      <c r="A467" s="113" t="s">
        <v>4834</v>
      </c>
      <c r="B467" s="112" t="s">
        <v>11322</v>
      </c>
    </row>
    <row r="468" spans="1:2" ht="15">
      <c r="A468" s="113" t="s">
        <v>4835</v>
      </c>
      <c r="B468" s="112" t="s">
        <v>11322</v>
      </c>
    </row>
    <row r="469" spans="1:2" ht="15">
      <c r="A469" s="113" t="s">
        <v>4836</v>
      </c>
      <c r="B469" s="112" t="s">
        <v>11322</v>
      </c>
    </row>
    <row r="470" spans="1:2" ht="15">
      <c r="A470" s="113" t="s">
        <v>4837</v>
      </c>
      <c r="B470" s="112" t="s">
        <v>11322</v>
      </c>
    </row>
    <row r="471" spans="1:2" ht="15">
      <c r="A471" s="113" t="s">
        <v>4838</v>
      </c>
      <c r="B471" s="112" t="s">
        <v>11322</v>
      </c>
    </row>
    <row r="472" spans="1:2" ht="15">
      <c r="A472" s="113" t="s">
        <v>4839</v>
      </c>
      <c r="B472" s="112" t="s">
        <v>11322</v>
      </c>
    </row>
    <row r="473" spans="1:2" ht="15">
      <c r="A473" s="113" t="s">
        <v>4840</v>
      </c>
      <c r="B473" s="112" t="s">
        <v>11322</v>
      </c>
    </row>
    <row r="474" spans="1:2" ht="15">
      <c r="A474" s="113" t="s">
        <v>4841</v>
      </c>
      <c r="B474" s="112" t="s">
        <v>11322</v>
      </c>
    </row>
    <row r="475" spans="1:2" ht="15">
      <c r="A475" s="113" t="s">
        <v>4842</v>
      </c>
      <c r="B475" s="112" t="s">
        <v>11322</v>
      </c>
    </row>
    <row r="476" spans="1:2" ht="15">
      <c r="A476" s="113" t="s">
        <v>4843</v>
      </c>
      <c r="B476" s="112" t="s">
        <v>11322</v>
      </c>
    </row>
    <row r="477" spans="1:2" ht="15">
      <c r="A477" s="113" t="s">
        <v>4844</v>
      </c>
      <c r="B477" s="112" t="s">
        <v>11322</v>
      </c>
    </row>
    <row r="478" spans="1:2" ht="15">
      <c r="A478" s="113" t="s">
        <v>4845</v>
      </c>
      <c r="B478" s="112" t="s">
        <v>11322</v>
      </c>
    </row>
    <row r="479" spans="1:2" ht="15">
      <c r="A479" s="113" t="s">
        <v>4846</v>
      </c>
      <c r="B479" s="112" t="s">
        <v>11322</v>
      </c>
    </row>
    <row r="480" spans="1:2" ht="15">
      <c r="A480" s="113" t="s">
        <v>4847</v>
      </c>
      <c r="B480" s="112" t="s">
        <v>11322</v>
      </c>
    </row>
    <row r="481" spans="1:2" ht="15">
      <c r="A481" s="113" t="s">
        <v>4848</v>
      </c>
      <c r="B481" s="112" t="s">
        <v>11322</v>
      </c>
    </row>
    <row r="482" spans="1:2" ht="15">
      <c r="A482" s="113" t="s">
        <v>4849</v>
      </c>
      <c r="B482" s="112" t="s">
        <v>11322</v>
      </c>
    </row>
    <row r="483" spans="1:2" ht="15">
      <c r="A483" s="113" t="s">
        <v>4850</v>
      </c>
      <c r="B483" s="112" t="s">
        <v>11322</v>
      </c>
    </row>
    <row r="484" spans="1:2" ht="15">
      <c r="A484" s="113" t="s">
        <v>4851</v>
      </c>
      <c r="B484" s="112" t="s">
        <v>11322</v>
      </c>
    </row>
    <row r="485" spans="1:2" ht="15">
      <c r="A485" s="113" t="s">
        <v>4852</v>
      </c>
      <c r="B485" s="112" t="s">
        <v>11322</v>
      </c>
    </row>
    <row r="486" spans="1:2" ht="15">
      <c r="A486" s="113" t="s">
        <v>4853</v>
      </c>
      <c r="B486" s="112" t="s">
        <v>11322</v>
      </c>
    </row>
    <row r="487" spans="1:2" ht="15">
      <c r="A487" s="113" t="s">
        <v>4854</v>
      </c>
      <c r="B487" s="112" t="s">
        <v>11322</v>
      </c>
    </row>
    <row r="488" spans="1:2" ht="15">
      <c r="A488" s="113" t="s">
        <v>4855</v>
      </c>
      <c r="B488" s="112" t="s">
        <v>11322</v>
      </c>
    </row>
    <row r="489" spans="1:2" ht="15">
      <c r="A489" s="113" t="s">
        <v>4856</v>
      </c>
      <c r="B489" s="112" t="s">
        <v>11322</v>
      </c>
    </row>
    <row r="490" spans="1:2" ht="15">
      <c r="A490" s="113" t="s">
        <v>4857</v>
      </c>
      <c r="B490" s="112" t="s">
        <v>11322</v>
      </c>
    </row>
    <row r="491" spans="1:2" ht="15">
      <c r="A491" s="113" t="s">
        <v>4858</v>
      </c>
      <c r="B491" s="112" t="s">
        <v>11322</v>
      </c>
    </row>
    <row r="492" spans="1:2" ht="15">
      <c r="A492" s="113" t="s">
        <v>4859</v>
      </c>
      <c r="B492" s="112" t="s">
        <v>11322</v>
      </c>
    </row>
    <row r="493" spans="1:2" ht="15">
      <c r="A493" s="113" t="s">
        <v>4860</v>
      </c>
      <c r="B493" s="112" t="s">
        <v>11322</v>
      </c>
    </row>
    <row r="494" spans="1:2" ht="15">
      <c r="A494" s="113" t="s">
        <v>4861</v>
      </c>
      <c r="B494" s="112" t="s">
        <v>11322</v>
      </c>
    </row>
    <row r="495" spans="1:2" ht="15">
      <c r="A495" s="113" t="s">
        <v>4862</v>
      </c>
      <c r="B495" s="112" t="s">
        <v>11322</v>
      </c>
    </row>
    <row r="496" spans="1:2" ht="15">
      <c r="A496" s="113" t="s">
        <v>4863</v>
      </c>
      <c r="B496" s="112" t="s">
        <v>11322</v>
      </c>
    </row>
    <row r="497" spans="1:2" ht="15">
      <c r="A497" s="113" t="s">
        <v>4864</v>
      </c>
      <c r="B497" s="112" t="s">
        <v>11322</v>
      </c>
    </row>
    <row r="498" spans="1:2" ht="15">
      <c r="A498" s="113" t="s">
        <v>4865</v>
      </c>
      <c r="B498" s="112" t="s">
        <v>11322</v>
      </c>
    </row>
    <row r="499" spans="1:2" ht="15">
      <c r="A499" s="113" t="s">
        <v>4866</v>
      </c>
      <c r="B499" s="112" t="s">
        <v>11322</v>
      </c>
    </row>
    <row r="500" spans="1:2" ht="15">
      <c r="A500" s="113" t="s">
        <v>4867</v>
      </c>
      <c r="B500" s="112" t="s">
        <v>11322</v>
      </c>
    </row>
    <row r="501" spans="1:2" ht="15">
      <c r="A501" s="113" t="s">
        <v>4868</v>
      </c>
      <c r="B501" s="112" t="s">
        <v>11322</v>
      </c>
    </row>
    <row r="502" spans="1:2" ht="15">
      <c r="A502" s="113" t="s">
        <v>4869</v>
      </c>
      <c r="B502" s="112" t="s">
        <v>11322</v>
      </c>
    </row>
    <row r="503" spans="1:2" ht="15">
      <c r="A503" s="113" t="s">
        <v>4870</v>
      </c>
      <c r="B503" s="112" t="s">
        <v>11322</v>
      </c>
    </row>
    <row r="504" spans="1:2" ht="15">
      <c r="A504" s="113" t="s">
        <v>4871</v>
      </c>
      <c r="B504" s="112" t="s">
        <v>11322</v>
      </c>
    </row>
    <row r="505" spans="1:2" ht="15">
      <c r="A505" s="113" t="s">
        <v>4872</v>
      </c>
      <c r="B505" s="112" t="s">
        <v>11322</v>
      </c>
    </row>
    <row r="506" spans="1:2" ht="15">
      <c r="A506" s="113" t="s">
        <v>4873</v>
      </c>
      <c r="B506" s="112" t="s">
        <v>11322</v>
      </c>
    </row>
    <row r="507" spans="1:2" ht="15">
      <c r="A507" s="113" t="s">
        <v>4874</v>
      </c>
      <c r="B507" s="112" t="s">
        <v>11322</v>
      </c>
    </row>
    <row r="508" spans="1:2" ht="15">
      <c r="A508" s="113" t="s">
        <v>4875</v>
      </c>
      <c r="B508" s="112" t="s">
        <v>11322</v>
      </c>
    </row>
    <row r="509" spans="1:2" ht="15">
      <c r="A509" s="113" t="s">
        <v>4876</v>
      </c>
      <c r="B509" s="112" t="s">
        <v>11322</v>
      </c>
    </row>
    <row r="510" spans="1:2" ht="15">
      <c r="A510" s="113" t="s">
        <v>4877</v>
      </c>
      <c r="B510" s="112" t="s">
        <v>11322</v>
      </c>
    </row>
    <row r="511" spans="1:2" ht="15">
      <c r="A511" s="113" t="s">
        <v>4878</v>
      </c>
      <c r="B511" s="112" t="s">
        <v>11322</v>
      </c>
    </row>
    <row r="512" spans="1:2" ht="15">
      <c r="A512" s="113" t="s">
        <v>4879</v>
      </c>
      <c r="B512" s="112" t="s">
        <v>11322</v>
      </c>
    </row>
    <row r="513" spans="1:2" ht="15">
      <c r="A513" s="113" t="s">
        <v>4880</v>
      </c>
      <c r="B513" s="112" t="s">
        <v>11322</v>
      </c>
    </row>
    <row r="514" spans="1:2" ht="15">
      <c r="A514" s="113" t="s">
        <v>4881</v>
      </c>
      <c r="B514" s="112" t="s">
        <v>11322</v>
      </c>
    </row>
    <row r="515" spans="1:2" ht="15">
      <c r="A515" s="113" t="s">
        <v>4882</v>
      </c>
      <c r="B515" s="112" t="s">
        <v>11322</v>
      </c>
    </row>
    <row r="516" spans="1:2" ht="15">
      <c r="A516" s="113" t="s">
        <v>4883</v>
      </c>
      <c r="B516" s="112" t="s">
        <v>11322</v>
      </c>
    </row>
    <row r="517" spans="1:2" ht="15">
      <c r="A517" s="113" t="s">
        <v>4884</v>
      </c>
      <c r="B517" s="112" t="s">
        <v>11322</v>
      </c>
    </row>
    <row r="518" spans="1:2" ht="15">
      <c r="A518" s="113" t="s">
        <v>4885</v>
      </c>
      <c r="B518" s="112" t="s">
        <v>11322</v>
      </c>
    </row>
    <row r="519" spans="1:2" ht="15">
      <c r="A519" s="113" t="s">
        <v>4886</v>
      </c>
      <c r="B519" s="112" t="s">
        <v>11322</v>
      </c>
    </row>
    <row r="520" spans="1:2" ht="15">
      <c r="A520" s="113" t="s">
        <v>4887</v>
      </c>
      <c r="B520" s="112" t="s">
        <v>11322</v>
      </c>
    </row>
    <row r="521" spans="1:2" ht="15">
      <c r="A521" s="113" t="s">
        <v>4888</v>
      </c>
      <c r="B521" s="112" t="s">
        <v>11322</v>
      </c>
    </row>
    <row r="522" spans="1:2" ht="15">
      <c r="A522" s="113" t="s">
        <v>4889</v>
      </c>
      <c r="B522" s="112" t="s">
        <v>11322</v>
      </c>
    </row>
    <row r="523" spans="1:2" ht="15">
      <c r="A523" s="113" t="s">
        <v>4890</v>
      </c>
      <c r="B523" s="112" t="s">
        <v>11322</v>
      </c>
    </row>
    <row r="524" spans="1:2" ht="15">
      <c r="A524" s="113" t="s">
        <v>4891</v>
      </c>
      <c r="B524" s="112" t="s">
        <v>11322</v>
      </c>
    </row>
    <row r="525" spans="1:2" ht="15">
      <c r="A525" s="113" t="s">
        <v>4892</v>
      </c>
      <c r="B525" s="112" t="s">
        <v>11322</v>
      </c>
    </row>
    <row r="526" spans="1:2" ht="15">
      <c r="A526" s="113" t="s">
        <v>4893</v>
      </c>
      <c r="B526" s="112" t="s">
        <v>11322</v>
      </c>
    </row>
    <row r="527" spans="1:2" ht="15">
      <c r="A527" s="113" t="s">
        <v>4894</v>
      </c>
      <c r="B527" s="112" t="s">
        <v>11322</v>
      </c>
    </row>
    <row r="528" spans="1:2" ht="15">
      <c r="A528" s="113" t="s">
        <v>4895</v>
      </c>
      <c r="B528" s="112" t="s">
        <v>11322</v>
      </c>
    </row>
    <row r="529" spans="1:2" ht="15">
      <c r="A529" s="113" t="s">
        <v>4896</v>
      </c>
      <c r="B529" s="112" t="s">
        <v>11322</v>
      </c>
    </row>
    <row r="530" spans="1:2" ht="15">
      <c r="A530" s="113" t="s">
        <v>4897</v>
      </c>
      <c r="B530" s="112" t="s">
        <v>11322</v>
      </c>
    </row>
    <row r="531" spans="1:2" ht="15">
      <c r="A531" s="113" t="s">
        <v>4898</v>
      </c>
      <c r="B531" s="112" t="s">
        <v>11322</v>
      </c>
    </row>
    <row r="532" spans="1:2" ht="15">
      <c r="A532" s="113" t="s">
        <v>4899</v>
      </c>
      <c r="B532" s="112" t="s">
        <v>11322</v>
      </c>
    </row>
    <row r="533" spans="1:2" ht="15">
      <c r="A533" s="113" t="s">
        <v>4900</v>
      </c>
      <c r="B533" s="112" t="s">
        <v>11322</v>
      </c>
    </row>
    <row r="534" spans="1:2" ht="15">
      <c r="A534" s="113" t="s">
        <v>4901</v>
      </c>
      <c r="B534" s="112" t="s">
        <v>11322</v>
      </c>
    </row>
    <row r="535" spans="1:2" ht="15">
      <c r="A535" s="113" t="s">
        <v>4902</v>
      </c>
      <c r="B535" s="112" t="s">
        <v>11322</v>
      </c>
    </row>
    <row r="536" spans="1:2" ht="15">
      <c r="A536" s="113" t="s">
        <v>4903</v>
      </c>
      <c r="B536" s="112" t="s">
        <v>11322</v>
      </c>
    </row>
    <row r="537" spans="1:2" ht="15">
      <c r="A537" s="113" t="s">
        <v>4904</v>
      </c>
      <c r="B537" s="112" t="s">
        <v>11322</v>
      </c>
    </row>
    <row r="538" spans="1:2" ht="15">
      <c r="A538" s="113" t="s">
        <v>4905</v>
      </c>
      <c r="B538" s="112" t="s">
        <v>11322</v>
      </c>
    </row>
    <row r="539" spans="1:2" ht="15">
      <c r="A539" s="113" t="s">
        <v>4906</v>
      </c>
      <c r="B539" s="112" t="s">
        <v>11322</v>
      </c>
    </row>
    <row r="540" spans="1:2" ht="15">
      <c r="A540" s="113" t="s">
        <v>4907</v>
      </c>
      <c r="B540" s="112" t="s">
        <v>11322</v>
      </c>
    </row>
    <row r="541" spans="1:2" ht="15">
      <c r="A541" s="113" t="s">
        <v>4908</v>
      </c>
      <c r="B541" s="112" t="s">
        <v>11322</v>
      </c>
    </row>
    <row r="542" spans="1:2" ht="15">
      <c r="A542" s="113" t="s">
        <v>4909</v>
      </c>
      <c r="B542" s="112" t="s">
        <v>11322</v>
      </c>
    </row>
    <row r="543" spans="1:2" ht="15">
      <c r="A543" s="113" t="s">
        <v>4910</v>
      </c>
      <c r="B543" s="112" t="s">
        <v>11322</v>
      </c>
    </row>
    <row r="544" spans="1:2" ht="15">
      <c r="A544" s="113" t="s">
        <v>4911</v>
      </c>
      <c r="B544" s="112" t="s">
        <v>11322</v>
      </c>
    </row>
    <row r="545" spans="1:2" ht="15">
      <c r="A545" s="113" t="s">
        <v>4912</v>
      </c>
      <c r="B545" s="112" t="s">
        <v>11322</v>
      </c>
    </row>
    <row r="546" spans="1:2" ht="15">
      <c r="A546" s="113" t="s">
        <v>4913</v>
      </c>
      <c r="B546" s="112" t="s">
        <v>11322</v>
      </c>
    </row>
    <row r="547" spans="1:2" ht="15">
      <c r="A547" s="113" t="s">
        <v>4914</v>
      </c>
      <c r="B547" s="112" t="s">
        <v>11322</v>
      </c>
    </row>
    <row r="548" spans="1:2" ht="15">
      <c r="A548" s="113" t="s">
        <v>4915</v>
      </c>
      <c r="B548" s="112" t="s">
        <v>11322</v>
      </c>
    </row>
    <row r="549" spans="1:2" ht="15">
      <c r="A549" s="113" t="s">
        <v>4916</v>
      </c>
      <c r="B549" s="112" t="s">
        <v>11322</v>
      </c>
    </row>
    <row r="550" spans="1:2" ht="15">
      <c r="A550" s="113" t="s">
        <v>4917</v>
      </c>
      <c r="B550" s="112" t="s">
        <v>11322</v>
      </c>
    </row>
    <row r="551" spans="1:2" ht="15">
      <c r="A551" s="113" t="s">
        <v>4918</v>
      </c>
      <c r="B551" s="112" t="s">
        <v>11322</v>
      </c>
    </row>
    <row r="552" spans="1:2" ht="15">
      <c r="A552" s="113" t="s">
        <v>4919</v>
      </c>
      <c r="B552" s="112" t="s">
        <v>11322</v>
      </c>
    </row>
    <row r="553" spans="1:2" ht="15">
      <c r="A553" s="113" t="s">
        <v>4920</v>
      </c>
      <c r="B553" s="112" t="s">
        <v>11322</v>
      </c>
    </row>
    <row r="554" spans="1:2" ht="15">
      <c r="A554" s="113" t="s">
        <v>4921</v>
      </c>
      <c r="B554" s="112" t="s">
        <v>11322</v>
      </c>
    </row>
    <row r="555" spans="1:2" ht="15">
      <c r="A555" s="113" t="s">
        <v>4922</v>
      </c>
      <c r="B555" s="112" t="s">
        <v>11322</v>
      </c>
    </row>
    <row r="556" spans="1:2" ht="15">
      <c r="A556" s="113" t="s">
        <v>4923</v>
      </c>
      <c r="B556" s="112" t="s">
        <v>11322</v>
      </c>
    </row>
    <row r="557" spans="1:2" ht="15">
      <c r="A557" s="113" t="s">
        <v>4924</v>
      </c>
      <c r="B557" s="112" t="s">
        <v>11322</v>
      </c>
    </row>
    <row r="558" spans="1:2" ht="15">
      <c r="A558" s="113" t="s">
        <v>4925</v>
      </c>
      <c r="B558" s="112" t="s">
        <v>11322</v>
      </c>
    </row>
    <row r="559" spans="1:2" ht="15">
      <c r="A559" s="113" t="s">
        <v>4926</v>
      </c>
      <c r="B559" s="112" t="s">
        <v>11322</v>
      </c>
    </row>
    <row r="560" spans="1:2" ht="15">
      <c r="A560" s="113" t="s">
        <v>4927</v>
      </c>
      <c r="B560" s="112" t="s">
        <v>11322</v>
      </c>
    </row>
    <row r="561" spans="1:2" ht="15">
      <c r="A561" s="113" t="s">
        <v>4928</v>
      </c>
      <c r="B561" s="112" t="s">
        <v>11322</v>
      </c>
    </row>
    <row r="562" spans="1:2" ht="15">
      <c r="A562" s="113" t="s">
        <v>4929</v>
      </c>
      <c r="B562" s="112" t="s">
        <v>11322</v>
      </c>
    </row>
    <row r="563" spans="1:2" ht="15">
      <c r="A563" s="113" t="s">
        <v>4930</v>
      </c>
      <c r="B563" s="112" t="s">
        <v>11322</v>
      </c>
    </row>
    <row r="564" spans="1:2" ht="15">
      <c r="A564" s="113" t="s">
        <v>4931</v>
      </c>
      <c r="B564" s="112" t="s">
        <v>11322</v>
      </c>
    </row>
    <row r="565" spans="1:2" ht="15">
      <c r="A565" s="113" t="s">
        <v>4932</v>
      </c>
      <c r="B565" s="112" t="s">
        <v>11322</v>
      </c>
    </row>
    <row r="566" spans="1:2" ht="15">
      <c r="A566" s="113" t="s">
        <v>4933</v>
      </c>
      <c r="B566" s="112" t="s">
        <v>11322</v>
      </c>
    </row>
    <row r="567" spans="1:2" ht="15">
      <c r="A567" s="113" t="s">
        <v>4934</v>
      </c>
      <c r="B567" s="112" t="s">
        <v>11322</v>
      </c>
    </row>
    <row r="568" spans="1:2" ht="15">
      <c r="A568" s="113" t="s">
        <v>4935</v>
      </c>
      <c r="B568" s="112" t="s">
        <v>11322</v>
      </c>
    </row>
    <row r="569" spans="1:2" ht="15">
      <c r="A569" s="113" t="s">
        <v>4936</v>
      </c>
      <c r="B569" s="112" t="s">
        <v>11322</v>
      </c>
    </row>
    <row r="570" spans="1:2" ht="15">
      <c r="A570" s="113" t="s">
        <v>4937</v>
      </c>
      <c r="B570" s="112" t="s">
        <v>11322</v>
      </c>
    </row>
    <row r="571" spans="1:2" ht="15">
      <c r="A571" s="113" t="s">
        <v>4938</v>
      </c>
      <c r="B571" s="112" t="s">
        <v>11322</v>
      </c>
    </row>
    <row r="572" spans="1:2" ht="15">
      <c r="A572" s="113" t="s">
        <v>4939</v>
      </c>
      <c r="B572" s="112" t="s">
        <v>11322</v>
      </c>
    </row>
    <row r="573" spans="1:2" ht="15">
      <c r="A573" s="113" t="s">
        <v>4940</v>
      </c>
      <c r="B573" s="112" t="s">
        <v>11322</v>
      </c>
    </row>
    <row r="574" spans="1:2" ht="15">
      <c r="A574" s="113" t="s">
        <v>4941</v>
      </c>
      <c r="B574" s="112" t="s">
        <v>11322</v>
      </c>
    </row>
    <row r="575" spans="1:2" ht="15">
      <c r="A575" s="113" t="s">
        <v>4942</v>
      </c>
      <c r="B575" s="112" t="s">
        <v>11322</v>
      </c>
    </row>
    <row r="576" spans="1:2" ht="15">
      <c r="A576" s="113" t="s">
        <v>4943</v>
      </c>
      <c r="B576" s="112" t="s">
        <v>11322</v>
      </c>
    </row>
    <row r="577" spans="1:2" ht="15">
      <c r="A577" s="113" t="s">
        <v>4944</v>
      </c>
      <c r="B577" s="112" t="s">
        <v>11322</v>
      </c>
    </row>
    <row r="578" spans="1:2" ht="15">
      <c r="A578" s="113" t="s">
        <v>4945</v>
      </c>
      <c r="B578" s="112" t="s">
        <v>11322</v>
      </c>
    </row>
    <row r="579" spans="1:2" ht="15">
      <c r="A579" s="113" t="s">
        <v>4946</v>
      </c>
      <c r="B579" s="112" t="s">
        <v>11322</v>
      </c>
    </row>
    <row r="580" spans="1:2" ht="15">
      <c r="A580" s="113" t="s">
        <v>4947</v>
      </c>
      <c r="B580" s="112" t="s">
        <v>11322</v>
      </c>
    </row>
    <row r="581" spans="1:2" ht="15">
      <c r="A581" s="113" t="s">
        <v>4948</v>
      </c>
      <c r="B581" s="112" t="s">
        <v>11322</v>
      </c>
    </row>
    <row r="582" spans="1:2" ht="15">
      <c r="A582" s="113" t="s">
        <v>4949</v>
      </c>
      <c r="B582" s="112" t="s">
        <v>11322</v>
      </c>
    </row>
    <row r="583" spans="1:2" ht="15">
      <c r="A583" s="113" t="s">
        <v>4950</v>
      </c>
      <c r="B583" s="112" t="s">
        <v>11322</v>
      </c>
    </row>
    <row r="584" spans="1:2" ht="15">
      <c r="A584" s="113" t="s">
        <v>4951</v>
      </c>
      <c r="B584" s="112" t="s">
        <v>11322</v>
      </c>
    </row>
    <row r="585" spans="1:2" ht="15">
      <c r="A585" s="113" t="s">
        <v>4952</v>
      </c>
      <c r="B585" s="112" t="s">
        <v>11322</v>
      </c>
    </row>
    <row r="586" spans="1:2" ht="15">
      <c r="A586" s="113" t="s">
        <v>4953</v>
      </c>
      <c r="B586" s="112" t="s">
        <v>11322</v>
      </c>
    </row>
    <row r="587" spans="1:2" ht="15">
      <c r="A587" s="113" t="s">
        <v>4954</v>
      </c>
      <c r="B587" s="112" t="s">
        <v>11322</v>
      </c>
    </row>
    <row r="588" spans="1:2" ht="15">
      <c r="A588" s="113" t="s">
        <v>4955</v>
      </c>
      <c r="B588" s="112" t="s">
        <v>11322</v>
      </c>
    </row>
    <row r="589" spans="1:2" ht="15">
      <c r="A589" s="113" t="s">
        <v>4956</v>
      </c>
      <c r="B589" s="112" t="s">
        <v>11322</v>
      </c>
    </row>
    <row r="590" spans="1:2" ht="15">
      <c r="A590" s="113" t="s">
        <v>4957</v>
      </c>
      <c r="B590" s="112" t="s">
        <v>11322</v>
      </c>
    </row>
    <row r="591" spans="1:2" ht="15">
      <c r="A591" s="113" t="s">
        <v>4958</v>
      </c>
      <c r="B591" s="112" t="s">
        <v>11322</v>
      </c>
    </row>
    <row r="592" spans="1:2" ht="15">
      <c r="A592" s="113" t="s">
        <v>4959</v>
      </c>
      <c r="B592" s="112" t="s">
        <v>11322</v>
      </c>
    </row>
    <row r="593" spans="1:2" ht="15">
      <c r="A593" s="113" t="s">
        <v>4960</v>
      </c>
      <c r="B593" s="112" t="s">
        <v>11322</v>
      </c>
    </row>
    <row r="594" spans="1:2" ht="15">
      <c r="A594" s="113" t="s">
        <v>4961</v>
      </c>
      <c r="B594" s="112" t="s">
        <v>11322</v>
      </c>
    </row>
    <row r="595" spans="1:2" ht="15">
      <c r="A595" s="113" t="s">
        <v>4962</v>
      </c>
      <c r="B595" s="112" t="s">
        <v>11322</v>
      </c>
    </row>
    <row r="596" spans="1:2" ht="15">
      <c r="A596" s="113" t="s">
        <v>4963</v>
      </c>
      <c r="B596" s="112" t="s">
        <v>11322</v>
      </c>
    </row>
    <row r="597" spans="1:2" ht="15">
      <c r="A597" s="113" t="s">
        <v>4964</v>
      </c>
      <c r="B597" s="112" t="s">
        <v>11322</v>
      </c>
    </row>
    <row r="598" spans="1:2" ht="15">
      <c r="A598" s="113" t="s">
        <v>4965</v>
      </c>
      <c r="B598" s="112" t="s">
        <v>11322</v>
      </c>
    </row>
    <row r="599" spans="1:2" ht="15">
      <c r="A599" s="113" t="s">
        <v>4966</v>
      </c>
      <c r="B599" s="112" t="s">
        <v>11322</v>
      </c>
    </row>
    <row r="600" spans="1:2" ht="15">
      <c r="A600" s="113" t="s">
        <v>4967</v>
      </c>
      <c r="B600" s="112" t="s">
        <v>11322</v>
      </c>
    </row>
    <row r="601" spans="1:2" ht="15">
      <c r="A601" s="113" t="s">
        <v>4968</v>
      </c>
      <c r="B601" s="112" t="s">
        <v>11322</v>
      </c>
    </row>
    <row r="602" spans="1:2" ht="15">
      <c r="A602" s="113" t="s">
        <v>4969</v>
      </c>
      <c r="B602" s="112" t="s">
        <v>11322</v>
      </c>
    </row>
    <row r="603" spans="1:2" ht="15">
      <c r="A603" s="113" t="s">
        <v>4970</v>
      </c>
      <c r="B603" s="112" t="s">
        <v>11322</v>
      </c>
    </row>
    <row r="604" spans="1:2" ht="15">
      <c r="A604" s="113" t="s">
        <v>4971</v>
      </c>
      <c r="B604" s="112" t="s">
        <v>11322</v>
      </c>
    </row>
    <row r="605" spans="1:2" ht="15">
      <c r="A605" s="113" t="s">
        <v>4972</v>
      </c>
      <c r="B605" s="112" t="s">
        <v>11322</v>
      </c>
    </row>
    <row r="606" spans="1:2" ht="15">
      <c r="A606" s="113" t="s">
        <v>4973</v>
      </c>
      <c r="B606" s="112" t="s">
        <v>11322</v>
      </c>
    </row>
    <row r="607" spans="1:2" ht="15">
      <c r="A607" s="113" t="s">
        <v>4974</v>
      </c>
      <c r="B607" s="112" t="s">
        <v>11322</v>
      </c>
    </row>
    <row r="608" spans="1:2" ht="15">
      <c r="A608" s="113" t="s">
        <v>4975</v>
      </c>
      <c r="B608" s="112" t="s">
        <v>11322</v>
      </c>
    </row>
    <row r="609" spans="1:2" ht="15">
      <c r="A609" s="113" t="s">
        <v>4976</v>
      </c>
      <c r="B609" s="112" t="s">
        <v>11322</v>
      </c>
    </row>
    <row r="610" spans="1:2" ht="15">
      <c r="A610" s="113" t="s">
        <v>4977</v>
      </c>
      <c r="B610" s="112" t="s">
        <v>11322</v>
      </c>
    </row>
    <row r="611" spans="1:2" ht="15">
      <c r="A611" s="113" t="s">
        <v>4978</v>
      </c>
      <c r="B611" s="112" t="s">
        <v>11322</v>
      </c>
    </row>
    <row r="612" spans="1:2" ht="15">
      <c r="A612" s="113" t="s">
        <v>4979</v>
      </c>
      <c r="B612" s="112" t="s">
        <v>11322</v>
      </c>
    </row>
    <row r="613" spans="1:2" ht="15">
      <c r="A613" s="113" t="s">
        <v>4980</v>
      </c>
      <c r="B613" s="112" t="s">
        <v>11322</v>
      </c>
    </row>
    <row r="614" spans="1:2" ht="15">
      <c r="A614" s="113" t="s">
        <v>4981</v>
      </c>
      <c r="B614" s="112" t="s">
        <v>11322</v>
      </c>
    </row>
    <row r="615" spans="1:2" ht="15">
      <c r="A615" s="113" t="s">
        <v>4982</v>
      </c>
      <c r="B615" s="112" t="s">
        <v>11322</v>
      </c>
    </row>
    <row r="616" spans="1:2" ht="15">
      <c r="A616" s="113" t="s">
        <v>4983</v>
      </c>
      <c r="B616" s="112" t="s">
        <v>11322</v>
      </c>
    </row>
    <row r="617" spans="1:2" ht="15">
      <c r="A617" s="113" t="s">
        <v>4984</v>
      </c>
      <c r="B617" s="112" t="s">
        <v>11322</v>
      </c>
    </row>
    <row r="618" spans="1:2" ht="15">
      <c r="A618" s="113" t="s">
        <v>4985</v>
      </c>
      <c r="B618" s="112" t="s">
        <v>11322</v>
      </c>
    </row>
    <row r="619" spans="1:2" ht="15">
      <c r="A619" s="113" t="s">
        <v>4986</v>
      </c>
      <c r="B619" s="112" t="s">
        <v>11322</v>
      </c>
    </row>
    <row r="620" spans="1:2" ht="15">
      <c r="A620" s="113" t="s">
        <v>4987</v>
      </c>
      <c r="B620" s="112" t="s">
        <v>11322</v>
      </c>
    </row>
    <row r="621" spans="1:2" ht="15">
      <c r="A621" s="113" t="s">
        <v>4988</v>
      </c>
      <c r="B621" s="112" t="s">
        <v>11322</v>
      </c>
    </row>
    <row r="622" spans="1:2" ht="15">
      <c r="A622" s="113" t="s">
        <v>4989</v>
      </c>
      <c r="B622" s="112" t="s">
        <v>11322</v>
      </c>
    </row>
    <row r="623" spans="1:2" ht="15">
      <c r="A623" s="113" t="s">
        <v>4990</v>
      </c>
      <c r="B623" s="112" t="s">
        <v>11322</v>
      </c>
    </row>
    <row r="624" spans="1:2" ht="15">
      <c r="A624" s="113" t="s">
        <v>4991</v>
      </c>
      <c r="B624" s="112" t="s">
        <v>11322</v>
      </c>
    </row>
    <row r="625" spans="1:2" ht="15">
      <c r="A625" s="113" t="s">
        <v>4992</v>
      </c>
      <c r="B625" s="112" t="s">
        <v>11322</v>
      </c>
    </row>
    <row r="626" spans="1:2" ht="15">
      <c r="A626" s="113" t="s">
        <v>4993</v>
      </c>
      <c r="B626" s="112" t="s">
        <v>11322</v>
      </c>
    </row>
    <row r="627" spans="1:2" ht="15">
      <c r="A627" s="113" t="s">
        <v>4994</v>
      </c>
      <c r="B627" s="112" t="s">
        <v>11322</v>
      </c>
    </row>
    <row r="628" spans="1:2" ht="15">
      <c r="A628" s="113" t="s">
        <v>4995</v>
      </c>
      <c r="B628" s="112" t="s">
        <v>11322</v>
      </c>
    </row>
    <row r="629" spans="1:2" ht="15">
      <c r="A629" s="113" t="s">
        <v>4996</v>
      </c>
      <c r="B629" s="112" t="s">
        <v>11322</v>
      </c>
    </row>
    <row r="630" spans="1:2" ht="15">
      <c r="A630" s="113" t="s">
        <v>4997</v>
      </c>
      <c r="B630" s="112" t="s">
        <v>11322</v>
      </c>
    </row>
    <row r="631" spans="1:2" ht="15">
      <c r="A631" s="113" t="s">
        <v>4998</v>
      </c>
      <c r="B631" s="112" t="s">
        <v>11322</v>
      </c>
    </row>
    <row r="632" spans="1:2" ht="15">
      <c r="A632" s="113" t="s">
        <v>4999</v>
      </c>
      <c r="B632" s="112" t="s">
        <v>11322</v>
      </c>
    </row>
    <row r="633" spans="1:2" ht="15">
      <c r="A633" s="113" t="s">
        <v>5000</v>
      </c>
      <c r="B633" s="112" t="s">
        <v>11322</v>
      </c>
    </row>
    <row r="634" spans="1:2" ht="15">
      <c r="A634" s="113" t="s">
        <v>5001</v>
      </c>
      <c r="B634" s="112" t="s">
        <v>11322</v>
      </c>
    </row>
    <row r="635" spans="1:2" ht="15">
      <c r="A635" s="113" t="s">
        <v>5002</v>
      </c>
      <c r="B635" s="112" t="s">
        <v>11322</v>
      </c>
    </row>
    <row r="636" spans="1:2" ht="15">
      <c r="A636" s="113" t="s">
        <v>5003</v>
      </c>
      <c r="B636" s="112" t="s">
        <v>11322</v>
      </c>
    </row>
    <row r="637" spans="1:2" ht="15">
      <c r="A637" s="113" t="s">
        <v>5004</v>
      </c>
      <c r="B637" s="112" t="s">
        <v>11322</v>
      </c>
    </row>
    <row r="638" spans="1:2" ht="15">
      <c r="A638" s="113" t="s">
        <v>5005</v>
      </c>
      <c r="B638" s="112" t="s">
        <v>11322</v>
      </c>
    </row>
    <row r="639" spans="1:2" ht="15">
      <c r="A639" s="113" t="s">
        <v>5006</v>
      </c>
      <c r="B639" s="112" t="s">
        <v>11322</v>
      </c>
    </row>
    <row r="640" spans="1:2" ht="15">
      <c r="A640" s="113" t="s">
        <v>5007</v>
      </c>
      <c r="B640" s="112" t="s">
        <v>11322</v>
      </c>
    </row>
    <row r="641" spans="1:2" ht="15">
      <c r="A641" s="113" t="s">
        <v>5008</v>
      </c>
      <c r="B641" s="112" t="s">
        <v>11322</v>
      </c>
    </row>
    <row r="642" spans="1:2" ht="15">
      <c r="A642" s="113" t="s">
        <v>5009</v>
      </c>
      <c r="B642" s="112" t="s">
        <v>11322</v>
      </c>
    </row>
    <row r="643" spans="1:2" ht="15">
      <c r="A643" s="113" t="s">
        <v>5010</v>
      </c>
      <c r="B643" s="112" t="s">
        <v>11322</v>
      </c>
    </row>
    <row r="644" spans="1:2" ht="15">
      <c r="A644" s="113" t="s">
        <v>5011</v>
      </c>
      <c r="B644" s="112" t="s">
        <v>11322</v>
      </c>
    </row>
    <row r="645" spans="1:2" ht="15">
      <c r="A645" s="113" t="s">
        <v>5012</v>
      </c>
      <c r="B645" s="112" t="s">
        <v>11322</v>
      </c>
    </row>
    <row r="646" spans="1:2" ht="15">
      <c r="A646" s="113" t="s">
        <v>5013</v>
      </c>
      <c r="B646" s="112" t="s">
        <v>11322</v>
      </c>
    </row>
    <row r="647" spans="1:2" ht="15">
      <c r="A647" s="113" t="s">
        <v>5014</v>
      </c>
      <c r="B647" s="112" t="s">
        <v>11322</v>
      </c>
    </row>
    <row r="648" spans="1:2" ht="15">
      <c r="A648" s="113" t="s">
        <v>5015</v>
      </c>
      <c r="B648" s="112" t="s">
        <v>11322</v>
      </c>
    </row>
    <row r="649" spans="1:2" ht="15">
      <c r="A649" s="113" t="s">
        <v>5016</v>
      </c>
      <c r="B649" s="112" t="s">
        <v>11322</v>
      </c>
    </row>
    <row r="650" spans="1:2" ht="15">
      <c r="A650" s="113" t="s">
        <v>5017</v>
      </c>
      <c r="B650" s="112" t="s">
        <v>11322</v>
      </c>
    </row>
    <row r="651" spans="1:2" ht="15">
      <c r="A651" s="113" t="s">
        <v>5018</v>
      </c>
      <c r="B651" s="112" t="s">
        <v>11322</v>
      </c>
    </row>
    <row r="652" spans="1:2" ht="15">
      <c r="A652" s="113" t="s">
        <v>5019</v>
      </c>
      <c r="B652" s="112" t="s">
        <v>11322</v>
      </c>
    </row>
    <row r="653" spans="1:2" ht="15">
      <c r="A653" s="113" t="s">
        <v>5020</v>
      </c>
      <c r="B653" s="112" t="s">
        <v>11322</v>
      </c>
    </row>
    <row r="654" spans="1:2" ht="15">
      <c r="A654" s="113" t="s">
        <v>5021</v>
      </c>
      <c r="B654" s="112" t="s">
        <v>11322</v>
      </c>
    </row>
    <row r="655" spans="1:2" ht="15">
      <c r="A655" s="113" t="s">
        <v>5022</v>
      </c>
      <c r="B655" s="112" t="s">
        <v>11322</v>
      </c>
    </row>
    <row r="656" spans="1:2" ht="15">
      <c r="A656" s="113" t="s">
        <v>5023</v>
      </c>
      <c r="B656" s="112" t="s">
        <v>11322</v>
      </c>
    </row>
    <row r="657" spans="1:2" ht="15">
      <c r="A657" s="113" t="s">
        <v>5024</v>
      </c>
      <c r="B657" s="112" t="s">
        <v>11322</v>
      </c>
    </row>
    <row r="658" spans="1:2" ht="15">
      <c r="A658" s="113" t="s">
        <v>5025</v>
      </c>
      <c r="B658" s="112" t="s">
        <v>11322</v>
      </c>
    </row>
    <row r="659" spans="1:2" ht="15">
      <c r="A659" s="113" t="s">
        <v>5026</v>
      </c>
      <c r="B659" s="112" t="s">
        <v>11322</v>
      </c>
    </row>
    <row r="660" spans="1:2" ht="15">
      <c r="A660" s="113" t="s">
        <v>5027</v>
      </c>
      <c r="B660" s="112" t="s">
        <v>11322</v>
      </c>
    </row>
    <row r="661" spans="1:2" ht="15">
      <c r="A661" s="113" t="s">
        <v>5028</v>
      </c>
      <c r="B661" s="112" t="s">
        <v>11322</v>
      </c>
    </row>
    <row r="662" spans="1:2" ht="15">
      <c r="A662" s="113" t="s">
        <v>5029</v>
      </c>
      <c r="B662" s="112" t="s">
        <v>11322</v>
      </c>
    </row>
    <row r="663" spans="1:2" ht="15">
      <c r="A663" s="113" t="s">
        <v>5030</v>
      </c>
      <c r="B663" s="112" t="s">
        <v>11322</v>
      </c>
    </row>
    <row r="664" spans="1:2" ht="15">
      <c r="A664" s="113" t="s">
        <v>5031</v>
      </c>
      <c r="B664" s="112" t="s">
        <v>11322</v>
      </c>
    </row>
    <row r="665" spans="1:2" ht="15">
      <c r="A665" s="113" t="s">
        <v>5032</v>
      </c>
      <c r="B665" s="112" t="s">
        <v>11322</v>
      </c>
    </row>
    <row r="666" spans="1:2" ht="15">
      <c r="A666" s="113" t="s">
        <v>5033</v>
      </c>
      <c r="B666" s="112" t="s">
        <v>11322</v>
      </c>
    </row>
    <row r="667" spans="1:2" ht="15">
      <c r="A667" s="113" t="s">
        <v>5034</v>
      </c>
      <c r="B667" s="112" t="s">
        <v>11322</v>
      </c>
    </row>
    <row r="668" spans="1:2" ht="15">
      <c r="A668" s="113" t="s">
        <v>5035</v>
      </c>
      <c r="B668" s="112" t="s">
        <v>11322</v>
      </c>
    </row>
    <row r="669" spans="1:2" ht="15">
      <c r="A669" s="113" t="s">
        <v>5036</v>
      </c>
      <c r="B669" s="112" t="s">
        <v>11322</v>
      </c>
    </row>
    <row r="670" spans="1:2" ht="15">
      <c r="A670" s="113" t="s">
        <v>5037</v>
      </c>
      <c r="B670" s="112" t="s">
        <v>11322</v>
      </c>
    </row>
    <row r="671" spans="1:2" ht="15">
      <c r="A671" s="113" t="s">
        <v>5038</v>
      </c>
      <c r="B671" s="112" t="s">
        <v>11322</v>
      </c>
    </row>
    <row r="672" spans="1:2" ht="15">
      <c r="A672" s="113" t="s">
        <v>5039</v>
      </c>
      <c r="B672" s="112" t="s">
        <v>11322</v>
      </c>
    </row>
    <row r="673" spans="1:2" ht="15">
      <c r="A673" s="113" t="s">
        <v>5040</v>
      </c>
      <c r="B673" s="112" t="s">
        <v>11322</v>
      </c>
    </row>
    <row r="674" spans="1:2" ht="15">
      <c r="A674" s="113" t="s">
        <v>5041</v>
      </c>
      <c r="B674" s="112" t="s">
        <v>11322</v>
      </c>
    </row>
    <row r="675" spans="1:2" ht="15">
      <c r="A675" s="113" t="s">
        <v>5042</v>
      </c>
      <c r="B675" s="112" t="s">
        <v>11322</v>
      </c>
    </row>
    <row r="676" spans="1:2" ht="15">
      <c r="A676" s="113" t="s">
        <v>5043</v>
      </c>
      <c r="B676" s="112" t="s">
        <v>11322</v>
      </c>
    </row>
    <row r="677" spans="1:2" ht="15">
      <c r="A677" s="113" t="s">
        <v>5044</v>
      </c>
      <c r="B677" s="112" t="s">
        <v>11322</v>
      </c>
    </row>
    <row r="678" spans="1:2" ht="15">
      <c r="A678" s="113" t="s">
        <v>5045</v>
      </c>
      <c r="B678" s="112" t="s">
        <v>11322</v>
      </c>
    </row>
    <row r="679" spans="1:2" ht="15">
      <c r="A679" s="113" t="s">
        <v>5046</v>
      </c>
      <c r="B679" s="112" t="s">
        <v>11322</v>
      </c>
    </row>
    <row r="680" spans="1:2" ht="15">
      <c r="A680" s="113" t="s">
        <v>5047</v>
      </c>
      <c r="B680" s="112" t="s">
        <v>11322</v>
      </c>
    </row>
    <row r="681" spans="1:2" ht="15">
      <c r="A681" s="113" t="s">
        <v>5048</v>
      </c>
      <c r="B681" s="112" t="s">
        <v>11322</v>
      </c>
    </row>
    <row r="682" spans="1:2" ht="15">
      <c r="A682" s="113" t="s">
        <v>5049</v>
      </c>
      <c r="B682" s="112" t="s">
        <v>11322</v>
      </c>
    </row>
    <row r="683" spans="1:2" ht="15">
      <c r="A683" s="113" t="s">
        <v>5050</v>
      </c>
      <c r="B683" s="112" t="s">
        <v>11322</v>
      </c>
    </row>
    <row r="684" spans="1:2" ht="15">
      <c r="A684" s="113" t="s">
        <v>5051</v>
      </c>
      <c r="B684" s="112" t="s">
        <v>11322</v>
      </c>
    </row>
    <row r="685" spans="1:2" ht="15">
      <c r="A685" s="113" t="s">
        <v>5052</v>
      </c>
      <c r="B685" s="112" t="s">
        <v>11322</v>
      </c>
    </row>
    <row r="686" spans="1:2" ht="15">
      <c r="A686" s="113" t="s">
        <v>3889</v>
      </c>
      <c r="B686" s="112" t="s">
        <v>11322</v>
      </c>
    </row>
    <row r="687" spans="1:2" ht="15">
      <c r="A687" s="113" t="s">
        <v>5053</v>
      </c>
      <c r="B687" s="112" t="s">
        <v>11322</v>
      </c>
    </row>
    <row r="688" spans="1:2" ht="15">
      <c r="A688" s="113" t="s">
        <v>5054</v>
      </c>
      <c r="B688" s="112" t="s">
        <v>11322</v>
      </c>
    </row>
    <row r="689" spans="1:2" ht="15">
      <c r="A689" s="113" t="s">
        <v>5055</v>
      </c>
      <c r="B689" s="112" t="s">
        <v>11322</v>
      </c>
    </row>
    <row r="690" spans="1:2" ht="15">
      <c r="A690" s="113" t="s">
        <v>5056</v>
      </c>
      <c r="B690" s="112" t="s">
        <v>11322</v>
      </c>
    </row>
    <row r="691" spans="1:2" ht="15">
      <c r="A691" s="113" t="s">
        <v>5057</v>
      </c>
      <c r="B691" s="112" t="s">
        <v>11322</v>
      </c>
    </row>
    <row r="692" spans="1:2" ht="15">
      <c r="A692" s="113" t="s">
        <v>5058</v>
      </c>
      <c r="B692" s="112" t="s">
        <v>11322</v>
      </c>
    </row>
    <row r="693" spans="1:2" ht="15">
      <c r="A693" s="113" t="s">
        <v>5059</v>
      </c>
      <c r="B693" s="112" t="s">
        <v>11322</v>
      </c>
    </row>
    <row r="694" spans="1:2" ht="15">
      <c r="A694" s="113" t="s">
        <v>5060</v>
      </c>
      <c r="B694" s="112" t="s">
        <v>11322</v>
      </c>
    </row>
    <row r="695" spans="1:2" ht="15">
      <c r="A695" s="113" t="s">
        <v>5061</v>
      </c>
      <c r="B695" s="112" t="s">
        <v>11322</v>
      </c>
    </row>
    <row r="696" spans="1:2" ht="15">
      <c r="A696" s="113" t="s">
        <v>5062</v>
      </c>
      <c r="B696" s="112" t="s">
        <v>11322</v>
      </c>
    </row>
    <row r="697" spans="1:2" ht="15">
      <c r="A697" s="113" t="s">
        <v>5063</v>
      </c>
      <c r="B697" s="112" t="s">
        <v>11322</v>
      </c>
    </row>
    <row r="698" spans="1:2" ht="15">
      <c r="A698" s="113" t="s">
        <v>5064</v>
      </c>
      <c r="B698" s="112" t="s">
        <v>11322</v>
      </c>
    </row>
    <row r="699" spans="1:2" ht="15">
      <c r="A699" s="113" t="s">
        <v>5065</v>
      </c>
      <c r="B699" s="112" t="s">
        <v>11322</v>
      </c>
    </row>
    <row r="700" spans="1:2" ht="15">
      <c r="A700" s="113" t="s">
        <v>5066</v>
      </c>
      <c r="B700" s="112" t="s">
        <v>11322</v>
      </c>
    </row>
    <row r="701" spans="1:2" ht="15">
      <c r="A701" s="113" t="s">
        <v>5067</v>
      </c>
      <c r="B701" s="112" t="s">
        <v>11322</v>
      </c>
    </row>
    <row r="702" spans="1:2" ht="15">
      <c r="A702" s="113" t="s">
        <v>5068</v>
      </c>
      <c r="B702" s="112" t="s">
        <v>11322</v>
      </c>
    </row>
    <row r="703" spans="1:2" ht="15">
      <c r="A703" s="113" t="s">
        <v>5069</v>
      </c>
      <c r="B703" s="112" t="s">
        <v>11322</v>
      </c>
    </row>
    <row r="704" spans="1:2" ht="15">
      <c r="A704" s="113" t="s">
        <v>5070</v>
      </c>
      <c r="B704" s="112" t="s">
        <v>11322</v>
      </c>
    </row>
    <row r="705" spans="1:2" ht="15">
      <c r="A705" s="113" t="s">
        <v>5071</v>
      </c>
      <c r="B705" s="112" t="s">
        <v>11322</v>
      </c>
    </row>
    <row r="706" spans="1:2" ht="15">
      <c r="A706" s="113" t="s">
        <v>5072</v>
      </c>
      <c r="B706" s="112" t="s">
        <v>11322</v>
      </c>
    </row>
    <row r="707" spans="1:2" ht="15">
      <c r="A707" s="113" t="s">
        <v>5073</v>
      </c>
      <c r="B707" s="112" t="s">
        <v>11322</v>
      </c>
    </row>
    <row r="708" spans="1:2" ht="15">
      <c r="A708" s="113" t="s">
        <v>5074</v>
      </c>
      <c r="B708" s="112" t="s">
        <v>11322</v>
      </c>
    </row>
    <row r="709" spans="1:2" ht="15">
      <c r="A709" s="113" t="s">
        <v>5075</v>
      </c>
      <c r="B709" s="112" t="s">
        <v>11322</v>
      </c>
    </row>
    <row r="710" spans="1:2" ht="15">
      <c r="A710" s="113" t="s">
        <v>5076</v>
      </c>
      <c r="B710" s="112" t="s">
        <v>11322</v>
      </c>
    </row>
    <row r="711" spans="1:2" ht="15">
      <c r="A711" s="113" t="s">
        <v>5077</v>
      </c>
      <c r="B711" s="112" t="s">
        <v>11322</v>
      </c>
    </row>
    <row r="712" spans="1:2" ht="15">
      <c r="A712" s="113" t="s">
        <v>5078</v>
      </c>
      <c r="B712" s="112" t="s">
        <v>11322</v>
      </c>
    </row>
    <row r="713" spans="1:2" ht="15">
      <c r="A713" s="113" t="s">
        <v>5079</v>
      </c>
      <c r="B713" s="112" t="s">
        <v>11322</v>
      </c>
    </row>
    <row r="714" spans="1:2" ht="15">
      <c r="A714" s="113" t="s">
        <v>5080</v>
      </c>
      <c r="B714" s="112" t="s">
        <v>11322</v>
      </c>
    </row>
    <row r="715" spans="1:2" ht="15">
      <c r="A715" s="113" t="s">
        <v>5081</v>
      </c>
      <c r="B715" s="112" t="s">
        <v>11322</v>
      </c>
    </row>
    <row r="716" spans="1:2" ht="15">
      <c r="A716" s="113" t="s">
        <v>5082</v>
      </c>
      <c r="B716" s="112" t="s">
        <v>11322</v>
      </c>
    </row>
    <row r="717" spans="1:2" ht="15">
      <c r="A717" s="113" t="s">
        <v>5083</v>
      </c>
      <c r="B717" s="112" t="s">
        <v>11322</v>
      </c>
    </row>
    <row r="718" spans="1:2" ht="15">
      <c r="A718" s="113" t="s">
        <v>5084</v>
      </c>
      <c r="B718" s="112" t="s">
        <v>11322</v>
      </c>
    </row>
    <row r="719" spans="1:2" ht="15">
      <c r="A719" s="113" t="s">
        <v>5085</v>
      </c>
      <c r="B719" s="112" t="s">
        <v>11322</v>
      </c>
    </row>
    <row r="720" spans="1:2" ht="15">
      <c r="A720" s="113" t="s">
        <v>5086</v>
      </c>
      <c r="B720" s="112" t="s">
        <v>11322</v>
      </c>
    </row>
    <row r="721" spans="1:2" ht="15">
      <c r="A721" s="113" t="s">
        <v>5087</v>
      </c>
      <c r="B721" s="112" t="s">
        <v>11322</v>
      </c>
    </row>
    <row r="722" spans="1:2" ht="15">
      <c r="A722" s="113" t="s">
        <v>5088</v>
      </c>
      <c r="B722" s="112" t="s">
        <v>11322</v>
      </c>
    </row>
    <row r="723" spans="1:2" ht="15">
      <c r="A723" s="113" t="s">
        <v>5089</v>
      </c>
      <c r="B723" s="112" t="s">
        <v>11322</v>
      </c>
    </row>
    <row r="724" spans="1:2" ht="15">
      <c r="A724" s="113" t="s">
        <v>5090</v>
      </c>
      <c r="B724" s="112" t="s">
        <v>11322</v>
      </c>
    </row>
    <row r="725" spans="1:2" ht="15">
      <c r="A725" s="113" t="s">
        <v>5091</v>
      </c>
      <c r="B725" s="112" t="s">
        <v>11322</v>
      </c>
    </row>
    <row r="726" spans="1:2" ht="15">
      <c r="A726" s="113" t="s">
        <v>5092</v>
      </c>
      <c r="B726" s="112" t="s">
        <v>11322</v>
      </c>
    </row>
    <row r="727" spans="1:2" ht="15">
      <c r="A727" s="113" t="s">
        <v>5093</v>
      </c>
      <c r="B727" s="112" t="s">
        <v>11322</v>
      </c>
    </row>
    <row r="728" spans="1:2" ht="15">
      <c r="A728" s="113" t="s">
        <v>5094</v>
      </c>
      <c r="B728" s="112" t="s">
        <v>11322</v>
      </c>
    </row>
    <row r="729" spans="1:2" ht="15">
      <c r="A729" s="113" t="s">
        <v>5095</v>
      </c>
      <c r="B729" s="112" t="s">
        <v>11322</v>
      </c>
    </row>
    <row r="730" spans="1:2" ht="15">
      <c r="A730" s="113" t="s">
        <v>5096</v>
      </c>
      <c r="B730" s="112" t="s">
        <v>11322</v>
      </c>
    </row>
    <row r="731" spans="1:2" ht="15">
      <c r="A731" s="113" t="s">
        <v>5097</v>
      </c>
      <c r="B731" s="112" t="s">
        <v>11322</v>
      </c>
    </row>
    <row r="732" spans="1:2" ht="15">
      <c r="A732" s="113" t="s">
        <v>5098</v>
      </c>
      <c r="B732" s="112" t="s">
        <v>11322</v>
      </c>
    </row>
    <row r="733" spans="1:2" ht="15">
      <c r="A733" s="113" t="s">
        <v>5099</v>
      </c>
      <c r="B733" s="112" t="s">
        <v>11322</v>
      </c>
    </row>
    <row r="734" spans="1:2" ht="15">
      <c r="A734" s="113" t="s">
        <v>5100</v>
      </c>
      <c r="B734" s="112" t="s">
        <v>11322</v>
      </c>
    </row>
    <row r="735" spans="1:2" ht="15">
      <c r="A735" s="113" t="s">
        <v>5101</v>
      </c>
      <c r="B735" s="112" t="s">
        <v>11322</v>
      </c>
    </row>
    <row r="736" spans="1:2" ht="15">
      <c r="A736" s="113" t="s">
        <v>5102</v>
      </c>
      <c r="B736" s="112" t="s">
        <v>11322</v>
      </c>
    </row>
    <row r="737" spans="1:2" ht="15">
      <c r="A737" s="113" t="s">
        <v>5103</v>
      </c>
      <c r="B737" s="112" t="s">
        <v>11322</v>
      </c>
    </row>
    <row r="738" spans="1:2" ht="15">
      <c r="A738" s="113" t="s">
        <v>5104</v>
      </c>
      <c r="B738" s="112" t="s">
        <v>11322</v>
      </c>
    </row>
    <row r="739" spans="1:2" ht="15">
      <c r="A739" s="113" t="s">
        <v>5105</v>
      </c>
      <c r="B739" s="112" t="s">
        <v>11322</v>
      </c>
    </row>
    <row r="740" spans="1:2" ht="15">
      <c r="A740" s="113" t="s">
        <v>5106</v>
      </c>
      <c r="B740" s="112" t="s">
        <v>11322</v>
      </c>
    </row>
    <row r="741" spans="1:2" ht="15">
      <c r="A741" s="113" t="s">
        <v>5107</v>
      </c>
      <c r="B741" s="112" t="s">
        <v>11322</v>
      </c>
    </row>
    <row r="742" spans="1:2" ht="15">
      <c r="A742" s="113" t="s">
        <v>5108</v>
      </c>
      <c r="B742" s="112" t="s">
        <v>11322</v>
      </c>
    </row>
    <row r="743" spans="1:2" ht="15">
      <c r="A743" s="113" t="s">
        <v>5109</v>
      </c>
      <c r="B743" s="112" t="s">
        <v>11322</v>
      </c>
    </row>
    <row r="744" spans="1:2" ht="15">
      <c r="A744" s="113" t="s">
        <v>5110</v>
      </c>
      <c r="B744" s="112" t="s">
        <v>11322</v>
      </c>
    </row>
    <row r="745" spans="1:2" ht="15">
      <c r="A745" s="113" t="s">
        <v>5111</v>
      </c>
      <c r="B745" s="112" t="s">
        <v>11322</v>
      </c>
    </row>
    <row r="746" spans="1:2" ht="15">
      <c r="A746" s="113" t="s">
        <v>5112</v>
      </c>
      <c r="B746" s="112" t="s">
        <v>11322</v>
      </c>
    </row>
    <row r="747" spans="1:2" ht="15">
      <c r="A747" s="113" t="s">
        <v>5113</v>
      </c>
      <c r="B747" s="112" t="s">
        <v>11322</v>
      </c>
    </row>
    <row r="748" spans="1:2" ht="15">
      <c r="A748" s="113" t="s">
        <v>5114</v>
      </c>
      <c r="B748" s="112" t="s">
        <v>11322</v>
      </c>
    </row>
    <row r="749" spans="1:2" ht="15">
      <c r="A749" s="113" t="s">
        <v>5115</v>
      </c>
      <c r="B749" s="112" t="s">
        <v>11322</v>
      </c>
    </row>
    <row r="750" spans="1:2" ht="15">
      <c r="A750" s="113" t="s">
        <v>5116</v>
      </c>
      <c r="B750" s="112" t="s">
        <v>11322</v>
      </c>
    </row>
    <row r="751" spans="1:2" ht="15">
      <c r="A751" s="113" t="s">
        <v>5117</v>
      </c>
      <c r="B751" s="112" t="s">
        <v>11322</v>
      </c>
    </row>
    <row r="752" spans="1:2" ht="15">
      <c r="A752" s="113" t="s">
        <v>5118</v>
      </c>
      <c r="B752" s="112" t="s">
        <v>11322</v>
      </c>
    </row>
    <row r="753" spans="1:2" ht="15">
      <c r="A753" s="113" t="s">
        <v>5119</v>
      </c>
      <c r="B753" s="112" t="s">
        <v>11322</v>
      </c>
    </row>
    <row r="754" spans="1:2" ht="15">
      <c r="A754" s="113" t="s">
        <v>5120</v>
      </c>
      <c r="B754" s="112" t="s">
        <v>11322</v>
      </c>
    </row>
    <row r="755" spans="1:2" ht="15">
      <c r="A755" s="113" t="s">
        <v>5121</v>
      </c>
      <c r="B755" s="112" t="s">
        <v>11322</v>
      </c>
    </row>
    <row r="756" spans="1:2" ht="15">
      <c r="A756" s="113" t="s">
        <v>5122</v>
      </c>
      <c r="B756" s="112" t="s">
        <v>11322</v>
      </c>
    </row>
    <row r="757" spans="1:2" ht="15">
      <c r="A757" s="113" t="s">
        <v>5123</v>
      </c>
      <c r="B757" s="112" t="s">
        <v>11322</v>
      </c>
    </row>
    <row r="758" spans="1:2" ht="15">
      <c r="A758" s="113" t="s">
        <v>5124</v>
      </c>
      <c r="B758" s="112" t="s">
        <v>11322</v>
      </c>
    </row>
    <row r="759" spans="1:2" ht="15">
      <c r="A759" s="113" t="s">
        <v>5125</v>
      </c>
      <c r="B759" s="112" t="s">
        <v>11322</v>
      </c>
    </row>
    <row r="760" spans="1:2" ht="15">
      <c r="A760" s="113" t="s">
        <v>5126</v>
      </c>
      <c r="B760" s="112" t="s">
        <v>11322</v>
      </c>
    </row>
    <row r="761" spans="1:2" ht="15">
      <c r="A761" s="113" t="s">
        <v>5127</v>
      </c>
      <c r="B761" s="112" t="s">
        <v>11322</v>
      </c>
    </row>
    <row r="762" spans="1:2" ht="15">
      <c r="A762" s="113" t="s">
        <v>5128</v>
      </c>
      <c r="B762" s="112" t="s">
        <v>11322</v>
      </c>
    </row>
    <row r="763" spans="1:2" ht="15">
      <c r="A763" s="113" t="s">
        <v>5129</v>
      </c>
      <c r="B763" s="112" t="s">
        <v>11322</v>
      </c>
    </row>
    <row r="764" spans="1:2" ht="15">
      <c r="A764" s="113" t="s">
        <v>5130</v>
      </c>
      <c r="B764" s="112" t="s">
        <v>11322</v>
      </c>
    </row>
    <row r="765" spans="1:2" ht="15">
      <c r="A765" s="113" t="s">
        <v>5131</v>
      </c>
      <c r="B765" s="112" t="s">
        <v>11322</v>
      </c>
    </row>
    <row r="766" spans="1:2" ht="15">
      <c r="A766" s="113" t="s">
        <v>5132</v>
      </c>
      <c r="B766" s="112" t="s">
        <v>11322</v>
      </c>
    </row>
    <row r="767" spans="1:2" ht="15">
      <c r="A767" s="113" t="s">
        <v>5133</v>
      </c>
      <c r="B767" s="112" t="s">
        <v>11322</v>
      </c>
    </row>
    <row r="768" spans="1:2" ht="15">
      <c r="A768" s="113" t="s">
        <v>5134</v>
      </c>
      <c r="B768" s="112" t="s">
        <v>11322</v>
      </c>
    </row>
    <row r="769" spans="1:2" ht="15">
      <c r="A769" s="113" t="s">
        <v>5135</v>
      </c>
      <c r="B769" s="112" t="s">
        <v>11322</v>
      </c>
    </row>
    <row r="770" spans="1:2" ht="15">
      <c r="A770" s="113" t="s">
        <v>5136</v>
      </c>
      <c r="B770" s="112" t="s">
        <v>11322</v>
      </c>
    </row>
    <row r="771" spans="1:2" ht="15">
      <c r="A771" s="113" t="s">
        <v>5137</v>
      </c>
      <c r="B771" s="112" t="s">
        <v>11322</v>
      </c>
    </row>
    <row r="772" spans="1:2" ht="15">
      <c r="A772" s="113" t="s">
        <v>5138</v>
      </c>
      <c r="B772" s="112" t="s">
        <v>11322</v>
      </c>
    </row>
    <row r="773" spans="1:2" ht="15">
      <c r="A773" s="113" t="s">
        <v>5139</v>
      </c>
      <c r="B773" s="112" t="s">
        <v>11322</v>
      </c>
    </row>
    <row r="774" spans="1:2" ht="15">
      <c r="A774" s="113" t="s">
        <v>5140</v>
      </c>
      <c r="B774" s="112" t="s">
        <v>11322</v>
      </c>
    </row>
    <row r="775" spans="1:2" ht="15">
      <c r="A775" s="113" t="s">
        <v>5141</v>
      </c>
      <c r="B775" s="112" t="s">
        <v>11322</v>
      </c>
    </row>
    <row r="776" spans="1:2" ht="15">
      <c r="A776" s="113" t="s">
        <v>5142</v>
      </c>
      <c r="B776" s="112" t="s">
        <v>11322</v>
      </c>
    </row>
    <row r="777" spans="1:2" ht="15">
      <c r="A777" s="113" t="s">
        <v>5143</v>
      </c>
      <c r="B777" s="112" t="s">
        <v>11322</v>
      </c>
    </row>
    <row r="778" spans="1:2" ht="15">
      <c r="A778" s="113" t="s">
        <v>5144</v>
      </c>
      <c r="B778" s="112" t="s">
        <v>11322</v>
      </c>
    </row>
    <row r="779" spans="1:2" ht="15">
      <c r="A779" s="113" t="s">
        <v>5145</v>
      </c>
      <c r="B779" s="112" t="s">
        <v>11322</v>
      </c>
    </row>
    <row r="780" spans="1:2" ht="15">
      <c r="A780" s="113" t="s">
        <v>5146</v>
      </c>
      <c r="B780" s="112" t="s">
        <v>11322</v>
      </c>
    </row>
    <row r="781" spans="1:2" ht="15">
      <c r="A781" s="113" t="s">
        <v>5147</v>
      </c>
      <c r="B781" s="112" t="s">
        <v>11322</v>
      </c>
    </row>
    <row r="782" spans="1:2" ht="15">
      <c r="A782" s="113" t="s">
        <v>5148</v>
      </c>
      <c r="B782" s="112" t="s">
        <v>11322</v>
      </c>
    </row>
    <row r="783" spans="1:2" ht="15">
      <c r="A783" s="113" t="s">
        <v>5149</v>
      </c>
      <c r="B783" s="112" t="s">
        <v>11322</v>
      </c>
    </row>
    <row r="784" spans="1:2" ht="15">
      <c r="A784" s="113" t="s">
        <v>5150</v>
      </c>
      <c r="B784" s="112" t="s">
        <v>11322</v>
      </c>
    </row>
    <row r="785" spans="1:2" ht="15">
      <c r="A785" s="113" t="s">
        <v>5151</v>
      </c>
      <c r="B785" s="112" t="s">
        <v>11322</v>
      </c>
    </row>
    <row r="786" spans="1:2" ht="15">
      <c r="A786" s="113" t="s">
        <v>5152</v>
      </c>
      <c r="B786" s="112" t="s">
        <v>11322</v>
      </c>
    </row>
    <row r="787" spans="1:2" ht="15">
      <c r="A787" s="113" t="s">
        <v>5153</v>
      </c>
      <c r="B787" s="112" t="s">
        <v>11322</v>
      </c>
    </row>
    <row r="788" spans="1:2" ht="15">
      <c r="A788" s="113" t="s">
        <v>5154</v>
      </c>
      <c r="B788" s="112" t="s">
        <v>11322</v>
      </c>
    </row>
    <row r="789" spans="1:2" ht="15">
      <c r="A789" s="113" t="s">
        <v>5155</v>
      </c>
      <c r="B789" s="112" t="s">
        <v>11322</v>
      </c>
    </row>
    <row r="790" spans="1:2" ht="15">
      <c r="A790" s="113" t="s">
        <v>5156</v>
      </c>
      <c r="B790" s="112" t="s">
        <v>11322</v>
      </c>
    </row>
    <row r="791" spans="1:2" ht="15">
      <c r="A791" s="113" t="s">
        <v>5157</v>
      </c>
      <c r="B791" s="112" t="s">
        <v>11322</v>
      </c>
    </row>
    <row r="792" spans="1:2" ht="15">
      <c r="A792" s="113" t="s">
        <v>5158</v>
      </c>
      <c r="B792" s="112" t="s">
        <v>11322</v>
      </c>
    </row>
    <row r="793" spans="1:2" ht="15">
      <c r="A793" s="113" t="s">
        <v>5159</v>
      </c>
      <c r="B793" s="112" t="s">
        <v>11322</v>
      </c>
    </row>
    <row r="794" spans="1:2" ht="15">
      <c r="A794" s="113" t="s">
        <v>5160</v>
      </c>
      <c r="B794" s="112" t="s">
        <v>11322</v>
      </c>
    </row>
    <row r="795" spans="1:2" ht="15">
      <c r="A795" s="113" t="s">
        <v>5161</v>
      </c>
      <c r="B795" s="112" t="s">
        <v>11322</v>
      </c>
    </row>
    <row r="796" spans="1:2" ht="15">
      <c r="A796" s="113" t="s">
        <v>5162</v>
      </c>
      <c r="B796" s="112" t="s">
        <v>11322</v>
      </c>
    </row>
    <row r="797" spans="1:2" ht="15">
      <c r="A797" s="113" t="s">
        <v>5163</v>
      </c>
      <c r="B797" s="112" t="s">
        <v>11322</v>
      </c>
    </row>
    <row r="798" spans="1:2" ht="15">
      <c r="A798" s="113" t="s">
        <v>5164</v>
      </c>
      <c r="B798" s="112" t="s">
        <v>11322</v>
      </c>
    </row>
    <row r="799" spans="1:2" ht="15">
      <c r="A799" s="113" t="s">
        <v>5165</v>
      </c>
      <c r="B799" s="112" t="s">
        <v>11322</v>
      </c>
    </row>
    <row r="800" spans="1:2" ht="15">
      <c r="A800" s="113" t="s">
        <v>5166</v>
      </c>
      <c r="B800" s="112" t="s">
        <v>11322</v>
      </c>
    </row>
    <row r="801" spans="1:2" ht="15">
      <c r="A801" s="113" t="s">
        <v>5167</v>
      </c>
      <c r="B801" s="112" t="s">
        <v>11322</v>
      </c>
    </row>
    <row r="802" spans="1:2" ht="15">
      <c r="A802" s="113" t="s">
        <v>5168</v>
      </c>
      <c r="B802" s="112" t="s">
        <v>11322</v>
      </c>
    </row>
    <row r="803" spans="1:2" ht="15">
      <c r="A803" s="113" t="s">
        <v>5169</v>
      </c>
      <c r="B803" s="112" t="s">
        <v>11322</v>
      </c>
    </row>
    <row r="804" spans="1:2" ht="15">
      <c r="A804" s="113" t="s">
        <v>5170</v>
      </c>
      <c r="B804" s="112" t="s">
        <v>11322</v>
      </c>
    </row>
    <row r="805" spans="1:2" ht="15">
      <c r="A805" s="113" t="s">
        <v>5171</v>
      </c>
      <c r="B805" s="112" t="s">
        <v>11322</v>
      </c>
    </row>
    <row r="806" spans="1:2" ht="15">
      <c r="A806" s="113" t="s">
        <v>5172</v>
      </c>
      <c r="B806" s="112" t="s">
        <v>11322</v>
      </c>
    </row>
    <row r="807" spans="1:2" ht="15">
      <c r="A807" s="113" t="s">
        <v>5173</v>
      </c>
      <c r="B807" s="112" t="s">
        <v>11322</v>
      </c>
    </row>
    <row r="808" spans="1:2" ht="15">
      <c r="A808" s="113" t="s">
        <v>5174</v>
      </c>
      <c r="B808" s="112" t="s">
        <v>11322</v>
      </c>
    </row>
    <row r="809" spans="1:2" ht="15">
      <c r="A809" s="113" t="s">
        <v>5175</v>
      </c>
      <c r="B809" s="112" t="s">
        <v>11322</v>
      </c>
    </row>
    <row r="810" spans="1:2" ht="15">
      <c r="A810" s="113" t="s">
        <v>5176</v>
      </c>
      <c r="B810" s="112" t="s">
        <v>11322</v>
      </c>
    </row>
    <row r="811" spans="1:2" ht="15">
      <c r="A811" s="113" t="s">
        <v>5177</v>
      </c>
      <c r="B811" s="112" t="s">
        <v>11322</v>
      </c>
    </row>
    <row r="812" spans="1:2" ht="15">
      <c r="A812" s="113" t="s">
        <v>5178</v>
      </c>
      <c r="B812" s="112" t="s">
        <v>11322</v>
      </c>
    </row>
    <row r="813" spans="1:2" ht="15">
      <c r="A813" s="113" t="s">
        <v>5179</v>
      </c>
      <c r="B813" s="112" t="s">
        <v>11322</v>
      </c>
    </row>
    <row r="814" spans="1:2" ht="15">
      <c r="A814" s="113" t="s">
        <v>5180</v>
      </c>
      <c r="B814" s="112" t="s">
        <v>11322</v>
      </c>
    </row>
    <row r="815" spans="1:2" ht="15">
      <c r="A815" s="113" t="s">
        <v>5181</v>
      </c>
      <c r="B815" s="112" t="s">
        <v>11322</v>
      </c>
    </row>
    <row r="816" spans="1:2" ht="15">
      <c r="A816" s="113" t="s">
        <v>5182</v>
      </c>
      <c r="B816" s="112" t="s">
        <v>11322</v>
      </c>
    </row>
    <row r="817" spans="1:2" ht="15">
      <c r="A817" s="113" t="s">
        <v>5183</v>
      </c>
      <c r="B817" s="112" t="s">
        <v>11322</v>
      </c>
    </row>
    <row r="818" spans="1:2" ht="15">
      <c r="A818" s="113" t="s">
        <v>5184</v>
      </c>
      <c r="B818" s="112" t="s">
        <v>11322</v>
      </c>
    </row>
    <row r="819" spans="1:2" ht="15">
      <c r="A819" s="113" t="s">
        <v>5185</v>
      </c>
      <c r="B819" s="112" t="s">
        <v>11322</v>
      </c>
    </row>
    <row r="820" spans="1:2" ht="15">
      <c r="A820" s="113" t="s">
        <v>5186</v>
      </c>
      <c r="B820" s="112" t="s">
        <v>11322</v>
      </c>
    </row>
    <row r="821" spans="1:2" ht="15">
      <c r="A821" s="113" t="s">
        <v>5187</v>
      </c>
      <c r="B821" s="112" t="s">
        <v>11322</v>
      </c>
    </row>
    <row r="822" spans="1:2" ht="15">
      <c r="A822" s="113" t="s">
        <v>5188</v>
      </c>
      <c r="B822" s="112" t="s">
        <v>11322</v>
      </c>
    </row>
    <row r="823" spans="1:2" ht="15">
      <c r="A823" s="113" t="s">
        <v>5189</v>
      </c>
      <c r="B823" s="112" t="s">
        <v>11322</v>
      </c>
    </row>
    <row r="824" spans="1:2" ht="15">
      <c r="A824" s="113" t="s">
        <v>5190</v>
      </c>
      <c r="B824" s="112" t="s">
        <v>11322</v>
      </c>
    </row>
    <row r="825" spans="1:2" ht="15">
      <c r="A825" s="113" t="s">
        <v>5191</v>
      </c>
      <c r="B825" s="112" t="s">
        <v>11322</v>
      </c>
    </row>
    <row r="826" spans="1:2" ht="15">
      <c r="A826" s="113" t="s">
        <v>5192</v>
      </c>
      <c r="B826" s="112" t="s">
        <v>11322</v>
      </c>
    </row>
    <row r="827" spans="1:2" ht="15">
      <c r="A827" s="113" t="s">
        <v>5193</v>
      </c>
      <c r="B827" s="112" t="s">
        <v>11322</v>
      </c>
    </row>
    <row r="828" spans="1:2" ht="15">
      <c r="A828" s="113" t="s">
        <v>5194</v>
      </c>
      <c r="B828" s="112" t="s">
        <v>11322</v>
      </c>
    </row>
    <row r="829" spans="1:2" ht="15">
      <c r="A829" s="113" t="s">
        <v>5195</v>
      </c>
      <c r="B829" s="112" t="s">
        <v>11322</v>
      </c>
    </row>
    <row r="830" spans="1:2" ht="15">
      <c r="A830" s="113" t="s">
        <v>5196</v>
      </c>
      <c r="B830" s="112" t="s">
        <v>11322</v>
      </c>
    </row>
    <row r="831" spans="1:2" ht="15">
      <c r="A831" s="113" t="s">
        <v>5197</v>
      </c>
      <c r="B831" s="112" t="s">
        <v>11322</v>
      </c>
    </row>
    <row r="832" spans="1:2" ht="15">
      <c r="A832" s="113" t="s">
        <v>5198</v>
      </c>
      <c r="B832" s="112" t="s">
        <v>11322</v>
      </c>
    </row>
    <row r="833" spans="1:2" ht="15">
      <c r="A833" s="113" t="s">
        <v>5199</v>
      </c>
      <c r="B833" s="112" t="s">
        <v>11322</v>
      </c>
    </row>
    <row r="834" spans="1:2" ht="15">
      <c r="A834" s="113" t="s">
        <v>5200</v>
      </c>
      <c r="B834" s="112" t="s">
        <v>11322</v>
      </c>
    </row>
    <row r="835" spans="1:2" ht="15">
      <c r="A835" s="113" t="s">
        <v>5201</v>
      </c>
      <c r="B835" s="112" t="s">
        <v>11322</v>
      </c>
    </row>
    <row r="836" spans="1:2" ht="15">
      <c r="A836" s="113" t="s">
        <v>5202</v>
      </c>
      <c r="B836" s="112" t="s">
        <v>11322</v>
      </c>
    </row>
    <row r="837" spans="1:2" ht="15">
      <c r="A837" s="113" t="s">
        <v>5203</v>
      </c>
      <c r="B837" s="112" t="s">
        <v>11322</v>
      </c>
    </row>
    <row r="838" spans="1:2" ht="15">
      <c r="A838" s="113" t="s">
        <v>5204</v>
      </c>
      <c r="B838" s="112" t="s">
        <v>11322</v>
      </c>
    </row>
    <row r="839" spans="1:2" ht="15">
      <c r="A839" s="113" t="s">
        <v>5205</v>
      </c>
      <c r="B839" s="112" t="s">
        <v>11322</v>
      </c>
    </row>
    <row r="840" spans="1:2" ht="15">
      <c r="A840" s="113" t="s">
        <v>5206</v>
      </c>
      <c r="B840" s="112" t="s">
        <v>11322</v>
      </c>
    </row>
    <row r="841" spans="1:2" ht="15">
      <c r="A841" s="113" t="s">
        <v>5207</v>
      </c>
      <c r="B841" s="112" t="s">
        <v>11322</v>
      </c>
    </row>
    <row r="842" spans="1:2" ht="15">
      <c r="A842" s="113" t="s">
        <v>5208</v>
      </c>
      <c r="B842" s="112" t="s">
        <v>11322</v>
      </c>
    </row>
    <row r="843" spans="1:2" ht="15">
      <c r="A843" s="113" t="s">
        <v>3740</v>
      </c>
      <c r="B843" s="112" t="s">
        <v>11322</v>
      </c>
    </row>
    <row r="844" spans="1:2" ht="15">
      <c r="A844" s="113" t="s">
        <v>5209</v>
      </c>
      <c r="B844" s="112" t="s">
        <v>11322</v>
      </c>
    </row>
    <row r="845" spans="1:2" ht="15">
      <c r="A845" s="113" t="s">
        <v>5210</v>
      </c>
      <c r="B845" s="112" t="s">
        <v>11322</v>
      </c>
    </row>
    <row r="846" spans="1:2" ht="15">
      <c r="A846" s="113" t="s">
        <v>5211</v>
      </c>
      <c r="B846" s="112" t="s">
        <v>11322</v>
      </c>
    </row>
    <row r="847" spans="1:2" ht="15">
      <c r="A847" s="113" t="s">
        <v>5212</v>
      </c>
      <c r="B847" s="112" t="s">
        <v>11322</v>
      </c>
    </row>
    <row r="848" spans="1:2" ht="15">
      <c r="A848" s="113" t="s">
        <v>5213</v>
      </c>
      <c r="B848" s="112" t="s">
        <v>11322</v>
      </c>
    </row>
    <row r="849" spans="1:2" ht="15">
      <c r="A849" s="113" t="s">
        <v>5214</v>
      </c>
      <c r="B849" s="112" t="s">
        <v>11322</v>
      </c>
    </row>
    <row r="850" spans="1:2" ht="15">
      <c r="A850" s="113" t="s">
        <v>5215</v>
      </c>
      <c r="B850" s="112" t="s">
        <v>11322</v>
      </c>
    </row>
    <row r="851" spans="1:2" ht="15">
      <c r="A851" s="113" t="s">
        <v>5216</v>
      </c>
      <c r="B851" s="112" t="s">
        <v>11322</v>
      </c>
    </row>
    <row r="852" spans="1:2" ht="15">
      <c r="A852" s="113" t="s">
        <v>5217</v>
      </c>
      <c r="B852" s="112" t="s">
        <v>11322</v>
      </c>
    </row>
    <row r="853" spans="1:2" ht="15">
      <c r="A853" s="113" t="s">
        <v>5218</v>
      </c>
      <c r="B853" s="112" t="s">
        <v>11322</v>
      </c>
    </row>
    <row r="854" spans="1:2" ht="15">
      <c r="A854" s="113" t="s">
        <v>5219</v>
      </c>
      <c r="B854" s="112" t="s">
        <v>11322</v>
      </c>
    </row>
    <row r="855" spans="1:2" ht="15">
      <c r="A855" s="113" t="s">
        <v>5220</v>
      </c>
      <c r="B855" s="112" t="s">
        <v>11322</v>
      </c>
    </row>
    <row r="856" spans="1:2" ht="15">
      <c r="A856" s="113" t="s">
        <v>5221</v>
      </c>
      <c r="B856" s="112" t="s">
        <v>11322</v>
      </c>
    </row>
    <row r="857" spans="1:2" ht="15">
      <c r="A857" s="113" t="s">
        <v>5222</v>
      </c>
      <c r="B857" s="112" t="s">
        <v>11322</v>
      </c>
    </row>
    <row r="858" spans="1:2" ht="15">
      <c r="A858" s="113" t="s">
        <v>5223</v>
      </c>
      <c r="B858" s="112" t="s">
        <v>11322</v>
      </c>
    </row>
    <row r="859" spans="1:2" ht="15">
      <c r="A859" s="113" t="s">
        <v>5224</v>
      </c>
      <c r="B859" s="112" t="s">
        <v>11322</v>
      </c>
    </row>
    <row r="860" spans="1:2" ht="15">
      <c r="A860" s="113" t="s">
        <v>5225</v>
      </c>
      <c r="B860" s="112" t="s">
        <v>11322</v>
      </c>
    </row>
    <row r="861" spans="1:2" ht="15">
      <c r="A861" s="113" t="s">
        <v>5226</v>
      </c>
      <c r="B861" s="112" t="s">
        <v>11322</v>
      </c>
    </row>
    <row r="862" spans="1:2" ht="15">
      <c r="A862" s="113" t="s">
        <v>5227</v>
      </c>
      <c r="B862" s="112" t="s">
        <v>11322</v>
      </c>
    </row>
    <row r="863" spans="1:2" ht="15">
      <c r="A863" s="113" t="s">
        <v>5228</v>
      </c>
      <c r="B863" s="112" t="s">
        <v>11322</v>
      </c>
    </row>
    <row r="864" spans="1:2" ht="15">
      <c r="A864" s="113" t="s">
        <v>5229</v>
      </c>
      <c r="B864" s="112" t="s">
        <v>11322</v>
      </c>
    </row>
    <row r="865" spans="1:2" ht="15">
      <c r="A865" s="113" t="s">
        <v>5230</v>
      </c>
      <c r="B865" s="112" t="s">
        <v>11322</v>
      </c>
    </row>
    <row r="866" spans="1:2" ht="15">
      <c r="A866" s="113" t="s">
        <v>5231</v>
      </c>
      <c r="B866" s="112" t="s">
        <v>11322</v>
      </c>
    </row>
    <row r="867" spans="1:2" ht="15">
      <c r="A867" s="113" t="s">
        <v>5232</v>
      </c>
      <c r="B867" s="112" t="s">
        <v>11322</v>
      </c>
    </row>
    <row r="868" spans="1:2" ht="15">
      <c r="A868" s="113" t="s">
        <v>5233</v>
      </c>
      <c r="B868" s="112" t="s">
        <v>11322</v>
      </c>
    </row>
    <row r="869" spans="1:2" ht="15">
      <c r="A869" s="113" t="s">
        <v>5234</v>
      </c>
      <c r="B869" s="112" t="s">
        <v>11322</v>
      </c>
    </row>
    <row r="870" spans="1:2" ht="15">
      <c r="A870" s="113" t="s">
        <v>5235</v>
      </c>
      <c r="B870" s="112" t="s">
        <v>11322</v>
      </c>
    </row>
    <row r="871" spans="1:2" ht="15">
      <c r="A871" s="113" t="s">
        <v>5236</v>
      </c>
      <c r="B871" s="112" t="s">
        <v>11322</v>
      </c>
    </row>
    <row r="872" spans="1:2" ht="15">
      <c r="A872" s="113" t="s">
        <v>5237</v>
      </c>
      <c r="B872" s="112" t="s">
        <v>11322</v>
      </c>
    </row>
    <row r="873" spans="1:2" ht="15">
      <c r="A873" s="113" t="s">
        <v>5238</v>
      </c>
      <c r="B873" s="112" t="s">
        <v>11322</v>
      </c>
    </row>
    <row r="874" spans="1:2" ht="15">
      <c r="A874" s="113" t="s">
        <v>5239</v>
      </c>
      <c r="B874" s="112" t="s">
        <v>11322</v>
      </c>
    </row>
    <row r="875" spans="1:2" ht="15">
      <c r="A875" s="113" t="s">
        <v>5240</v>
      </c>
      <c r="B875" s="112" t="s">
        <v>11322</v>
      </c>
    </row>
    <row r="876" spans="1:2" ht="15">
      <c r="A876" s="113" t="s">
        <v>5241</v>
      </c>
      <c r="B876" s="112" t="s">
        <v>11322</v>
      </c>
    </row>
    <row r="877" spans="1:2" ht="15">
      <c r="A877" s="113" t="s">
        <v>5242</v>
      </c>
      <c r="B877" s="112" t="s">
        <v>11322</v>
      </c>
    </row>
    <row r="878" spans="1:2" ht="15">
      <c r="A878" s="113" t="s">
        <v>5243</v>
      </c>
      <c r="B878" s="112" t="s">
        <v>11322</v>
      </c>
    </row>
    <row r="879" spans="1:2" ht="15">
      <c r="A879" s="113" t="s">
        <v>5244</v>
      </c>
      <c r="B879" s="112" t="s">
        <v>11322</v>
      </c>
    </row>
    <row r="880" spans="1:2" ht="15">
      <c r="A880" s="113" t="s">
        <v>5245</v>
      </c>
      <c r="B880" s="112" t="s">
        <v>11322</v>
      </c>
    </row>
    <row r="881" spans="1:2" ht="15">
      <c r="A881" s="113" t="s">
        <v>5246</v>
      </c>
      <c r="B881" s="112" t="s">
        <v>11322</v>
      </c>
    </row>
    <row r="882" spans="1:2" ht="15">
      <c r="A882" s="113" t="s">
        <v>5247</v>
      </c>
      <c r="B882" s="112" t="s">
        <v>11322</v>
      </c>
    </row>
    <row r="883" spans="1:2" ht="15">
      <c r="A883" s="113" t="s">
        <v>5248</v>
      </c>
      <c r="B883" s="112" t="s">
        <v>11322</v>
      </c>
    </row>
    <row r="884" spans="1:2" ht="15">
      <c r="A884" s="113" t="s">
        <v>5249</v>
      </c>
      <c r="B884" s="112" t="s">
        <v>11322</v>
      </c>
    </row>
    <row r="885" spans="1:2" ht="15">
      <c r="A885" s="113" t="s">
        <v>5250</v>
      </c>
      <c r="B885" s="112" t="s">
        <v>11322</v>
      </c>
    </row>
    <row r="886" spans="1:2" ht="15">
      <c r="A886" s="113" t="s">
        <v>5251</v>
      </c>
      <c r="B886" s="112" t="s">
        <v>11322</v>
      </c>
    </row>
    <row r="887" spans="1:2" ht="15">
      <c r="A887" s="113" t="s">
        <v>5252</v>
      </c>
      <c r="B887" s="112" t="s">
        <v>11322</v>
      </c>
    </row>
    <row r="888" spans="1:2" ht="15">
      <c r="A888" s="113" t="s">
        <v>5253</v>
      </c>
      <c r="B888" s="112" t="s">
        <v>11322</v>
      </c>
    </row>
    <row r="889" spans="1:2" ht="15">
      <c r="A889" s="113" t="s">
        <v>5254</v>
      </c>
      <c r="B889" s="112" t="s">
        <v>11322</v>
      </c>
    </row>
    <row r="890" spans="1:2" ht="15">
      <c r="A890" s="113" t="s">
        <v>5255</v>
      </c>
      <c r="B890" s="112" t="s">
        <v>11322</v>
      </c>
    </row>
    <row r="891" spans="1:2" ht="15">
      <c r="A891" s="113" t="s">
        <v>5256</v>
      </c>
      <c r="B891" s="112" t="s">
        <v>11322</v>
      </c>
    </row>
    <row r="892" spans="1:2" ht="15">
      <c r="A892" s="113" t="s">
        <v>5257</v>
      </c>
      <c r="B892" s="112" t="s">
        <v>11322</v>
      </c>
    </row>
    <row r="893" spans="1:2" ht="15">
      <c r="A893" s="113" t="s">
        <v>5258</v>
      </c>
      <c r="B893" s="112" t="s">
        <v>11322</v>
      </c>
    </row>
    <row r="894" spans="1:2" ht="15">
      <c r="A894" s="113" t="s">
        <v>5259</v>
      </c>
      <c r="B894" s="112" t="s">
        <v>11322</v>
      </c>
    </row>
    <row r="895" spans="1:2" ht="15">
      <c r="A895" s="113" t="s">
        <v>5260</v>
      </c>
      <c r="B895" s="112" t="s">
        <v>11322</v>
      </c>
    </row>
    <row r="896" spans="1:2" ht="15">
      <c r="A896" s="113" t="s">
        <v>5261</v>
      </c>
      <c r="B896" s="112" t="s">
        <v>11322</v>
      </c>
    </row>
    <row r="897" spans="1:2" ht="15">
      <c r="A897" s="113" t="s">
        <v>5262</v>
      </c>
      <c r="B897" s="112" t="s">
        <v>11322</v>
      </c>
    </row>
    <row r="898" spans="1:2" ht="15">
      <c r="A898" s="113" t="s">
        <v>5263</v>
      </c>
      <c r="B898" s="112" t="s">
        <v>11322</v>
      </c>
    </row>
    <row r="899" spans="1:2" ht="15">
      <c r="A899" s="113" t="s">
        <v>5264</v>
      </c>
      <c r="B899" s="112" t="s">
        <v>11322</v>
      </c>
    </row>
    <row r="900" spans="1:2" ht="15">
      <c r="A900" s="113" t="s">
        <v>5265</v>
      </c>
      <c r="B900" s="112" t="s">
        <v>11322</v>
      </c>
    </row>
    <row r="901" spans="1:2" ht="15">
      <c r="A901" s="113" t="s">
        <v>5266</v>
      </c>
      <c r="B901" s="112" t="s">
        <v>11322</v>
      </c>
    </row>
    <row r="902" spans="1:2" ht="15">
      <c r="A902" s="113" t="s">
        <v>5267</v>
      </c>
      <c r="B902" s="112" t="s">
        <v>11322</v>
      </c>
    </row>
    <row r="903" spans="1:2" ht="15">
      <c r="A903" s="113" t="s">
        <v>5268</v>
      </c>
      <c r="B903" s="112" t="s">
        <v>11322</v>
      </c>
    </row>
    <row r="904" spans="1:2" ht="15">
      <c r="A904" s="113" t="s">
        <v>5269</v>
      </c>
      <c r="B904" s="112" t="s">
        <v>11322</v>
      </c>
    </row>
    <row r="905" spans="1:2" ht="15">
      <c r="A905" s="113" t="s">
        <v>5270</v>
      </c>
      <c r="B905" s="112" t="s">
        <v>11322</v>
      </c>
    </row>
    <row r="906" spans="1:2" ht="15">
      <c r="A906" s="113" t="s">
        <v>5271</v>
      </c>
      <c r="B906" s="112" t="s">
        <v>11322</v>
      </c>
    </row>
    <row r="907" spans="1:2" ht="15">
      <c r="A907" s="113" t="s">
        <v>5272</v>
      </c>
      <c r="B907" s="112" t="s">
        <v>11322</v>
      </c>
    </row>
    <row r="908" spans="1:2" ht="15">
      <c r="A908" s="113" t="s">
        <v>5273</v>
      </c>
      <c r="B908" s="112" t="s">
        <v>11322</v>
      </c>
    </row>
    <row r="909" spans="1:2" ht="15">
      <c r="A909" s="113" t="s">
        <v>5274</v>
      </c>
      <c r="B909" s="112" t="s">
        <v>11322</v>
      </c>
    </row>
    <row r="910" spans="1:2" ht="15">
      <c r="A910" s="113" t="s">
        <v>5275</v>
      </c>
      <c r="B910" s="112" t="s">
        <v>11322</v>
      </c>
    </row>
    <row r="911" spans="1:2" ht="15">
      <c r="A911" s="113" t="s">
        <v>5276</v>
      </c>
      <c r="B911" s="112" t="s">
        <v>11322</v>
      </c>
    </row>
    <row r="912" spans="1:2" ht="15">
      <c r="A912" s="113" t="s">
        <v>5277</v>
      </c>
      <c r="B912" s="112" t="s">
        <v>11322</v>
      </c>
    </row>
    <row r="913" spans="1:2" ht="15">
      <c r="A913" s="113" t="s">
        <v>5278</v>
      </c>
      <c r="B913" s="112" t="s">
        <v>11322</v>
      </c>
    </row>
    <row r="914" spans="1:2" ht="15">
      <c r="A914" s="113" t="s">
        <v>5279</v>
      </c>
      <c r="B914" s="112" t="s">
        <v>11322</v>
      </c>
    </row>
    <row r="915" spans="1:2" ht="15">
      <c r="A915" s="113" t="s">
        <v>5280</v>
      </c>
      <c r="B915" s="112" t="s">
        <v>11322</v>
      </c>
    </row>
    <row r="916" spans="1:2" ht="15">
      <c r="A916" s="113" t="s">
        <v>5281</v>
      </c>
      <c r="B916" s="112" t="s">
        <v>11322</v>
      </c>
    </row>
    <row r="917" spans="1:2" ht="15">
      <c r="A917" s="113" t="s">
        <v>5282</v>
      </c>
      <c r="B917" s="112" t="s">
        <v>11322</v>
      </c>
    </row>
    <row r="918" spans="1:2" ht="15">
      <c r="A918" s="113" t="s">
        <v>5283</v>
      </c>
      <c r="B918" s="112" t="s">
        <v>11322</v>
      </c>
    </row>
    <row r="919" spans="1:2" ht="15">
      <c r="A919" s="113" t="s">
        <v>5284</v>
      </c>
      <c r="B919" s="112" t="s">
        <v>11322</v>
      </c>
    </row>
    <row r="920" spans="1:2" ht="15">
      <c r="A920" s="113" t="s">
        <v>5285</v>
      </c>
      <c r="B920" s="112" t="s">
        <v>11322</v>
      </c>
    </row>
    <row r="921" spans="1:2" ht="15">
      <c r="A921" s="113" t="s">
        <v>5286</v>
      </c>
      <c r="B921" s="112" t="s">
        <v>11322</v>
      </c>
    </row>
    <row r="922" spans="1:2" ht="15">
      <c r="A922" s="113" t="s">
        <v>5287</v>
      </c>
      <c r="B922" s="112" t="s">
        <v>11322</v>
      </c>
    </row>
    <row r="923" spans="1:2" ht="15">
      <c r="A923" s="113" t="s">
        <v>5288</v>
      </c>
      <c r="B923" s="112" t="s">
        <v>11322</v>
      </c>
    </row>
    <row r="924" spans="1:2" ht="15">
      <c r="A924" s="113" t="s">
        <v>5289</v>
      </c>
      <c r="B924" s="112" t="s">
        <v>11322</v>
      </c>
    </row>
    <row r="925" spans="1:2" ht="15">
      <c r="A925" s="113" t="s">
        <v>5290</v>
      </c>
      <c r="B925" s="112" t="s">
        <v>11322</v>
      </c>
    </row>
    <row r="926" spans="1:2" ht="15">
      <c r="A926" s="113" t="s">
        <v>5291</v>
      </c>
      <c r="B926" s="112" t="s">
        <v>11322</v>
      </c>
    </row>
    <row r="927" spans="1:2" ht="15">
      <c r="A927" s="113" t="s">
        <v>5292</v>
      </c>
      <c r="B927" s="112" t="s">
        <v>11322</v>
      </c>
    </row>
    <row r="928" spans="1:2" ht="15">
      <c r="A928" s="113" t="s">
        <v>5293</v>
      </c>
      <c r="B928" s="112" t="s">
        <v>11322</v>
      </c>
    </row>
    <row r="929" spans="1:2" ht="15">
      <c r="A929" s="113" t="s">
        <v>5294</v>
      </c>
      <c r="B929" s="112" t="s">
        <v>11322</v>
      </c>
    </row>
    <row r="930" spans="1:2" ht="15">
      <c r="A930" s="113" t="s">
        <v>5295</v>
      </c>
      <c r="B930" s="112" t="s">
        <v>11322</v>
      </c>
    </row>
    <row r="931" spans="1:2" ht="15">
      <c r="A931" s="113" t="s">
        <v>5296</v>
      </c>
      <c r="B931" s="112" t="s">
        <v>11322</v>
      </c>
    </row>
    <row r="932" spans="1:2" ht="15">
      <c r="A932" s="113" t="s">
        <v>5297</v>
      </c>
      <c r="B932" s="112" t="s">
        <v>11322</v>
      </c>
    </row>
    <row r="933" spans="1:2" ht="15">
      <c r="A933" s="113" t="s">
        <v>5298</v>
      </c>
      <c r="B933" s="112" t="s">
        <v>11322</v>
      </c>
    </row>
    <row r="934" spans="1:2" ht="15">
      <c r="A934" s="113" t="s">
        <v>5299</v>
      </c>
      <c r="B934" s="112" t="s">
        <v>11322</v>
      </c>
    </row>
    <row r="935" spans="1:2" ht="15">
      <c r="A935" s="113" t="s">
        <v>5300</v>
      </c>
      <c r="B935" s="112" t="s">
        <v>11322</v>
      </c>
    </row>
    <row r="936" spans="1:2" ht="15">
      <c r="A936" s="113" t="s">
        <v>5301</v>
      </c>
      <c r="B936" s="112" t="s">
        <v>11322</v>
      </c>
    </row>
    <row r="937" spans="1:2" ht="15">
      <c r="A937" s="113" t="s">
        <v>3741</v>
      </c>
      <c r="B937" s="112" t="s">
        <v>11322</v>
      </c>
    </row>
    <row r="938" spans="1:2" ht="15">
      <c r="A938" s="113" t="s">
        <v>5302</v>
      </c>
      <c r="B938" s="112" t="s">
        <v>11322</v>
      </c>
    </row>
    <row r="939" spans="1:2" ht="15">
      <c r="A939" s="113" t="s">
        <v>5303</v>
      </c>
      <c r="B939" s="112" t="s">
        <v>11322</v>
      </c>
    </row>
    <row r="940" spans="1:2" ht="15">
      <c r="A940" s="113" t="s">
        <v>5304</v>
      </c>
      <c r="B940" s="112" t="s">
        <v>11322</v>
      </c>
    </row>
    <row r="941" spans="1:2" ht="15">
      <c r="A941" s="113" t="s">
        <v>5305</v>
      </c>
      <c r="B941" s="112" t="s">
        <v>11322</v>
      </c>
    </row>
    <row r="942" spans="1:2" ht="15">
      <c r="A942" s="113" t="s">
        <v>5306</v>
      </c>
      <c r="B942" s="112" t="s">
        <v>11322</v>
      </c>
    </row>
    <row r="943" spans="1:2" ht="15">
      <c r="A943" s="113" t="s">
        <v>5307</v>
      </c>
      <c r="B943" s="112" t="s">
        <v>11322</v>
      </c>
    </row>
    <row r="944" spans="1:2" ht="15">
      <c r="A944" s="113" t="s">
        <v>5308</v>
      </c>
      <c r="B944" s="112" t="s">
        <v>11322</v>
      </c>
    </row>
    <row r="945" spans="1:2" ht="15">
      <c r="A945" s="113" t="s">
        <v>5309</v>
      </c>
      <c r="B945" s="112" t="s">
        <v>11322</v>
      </c>
    </row>
    <row r="946" spans="1:2" ht="15">
      <c r="A946" s="113" t="s">
        <v>5310</v>
      </c>
      <c r="B946" s="112" t="s">
        <v>11322</v>
      </c>
    </row>
    <row r="947" spans="1:2" ht="15">
      <c r="A947" s="113" t="s">
        <v>5311</v>
      </c>
      <c r="B947" s="112" t="s">
        <v>11322</v>
      </c>
    </row>
    <row r="948" spans="1:2" ht="15">
      <c r="A948" s="113" t="s">
        <v>5312</v>
      </c>
      <c r="B948" s="112" t="s">
        <v>11322</v>
      </c>
    </row>
    <row r="949" spans="1:2" ht="15">
      <c r="A949" s="113" t="s">
        <v>5313</v>
      </c>
      <c r="B949" s="112" t="s">
        <v>11322</v>
      </c>
    </row>
    <row r="950" spans="1:2" ht="15">
      <c r="A950" s="113" t="s">
        <v>5314</v>
      </c>
      <c r="B950" s="112" t="s">
        <v>11322</v>
      </c>
    </row>
    <row r="951" spans="1:2" ht="15">
      <c r="A951" s="113" t="s">
        <v>5315</v>
      </c>
      <c r="B951" s="112" t="s">
        <v>11322</v>
      </c>
    </row>
    <row r="952" spans="1:2" ht="15">
      <c r="A952" s="113" t="s">
        <v>5316</v>
      </c>
      <c r="B952" s="112" t="s">
        <v>11322</v>
      </c>
    </row>
    <row r="953" spans="1:2" ht="15">
      <c r="A953" s="113" t="s">
        <v>5317</v>
      </c>
      <c r="B953" s="112" t="s">
        <v>11322</v>
      </c>
    </row>
    <row r="954" spans="1:2" ht="15">
      <c r="A954" s="113" t="s">
        <v>5318</v>
      </c>
      <c r="B954" s="112" t="s">
        <v>11322</v>
      </c>
    </row>
    <row r="955" spans="1:2" ht="15">
      <c r="A955" s="113" t="s">
        <v>5319</v>
      </c>
      <c r="B955" s="112" t="s">
        <v>11322</v>
      </c>
    </row>
    <row r="956" spans="1:2" ht="15">
      <c r="A956" s="113" t="s">
        <v>5320</v>
      </c>
      <c r="B956" s="112" t="s">
        <v>11322</v>
      </c>
    </row>
    <row r="957" spans="1:2" ht="15">
      <c r="A957" s="113" t="s">
        <v>5321</v>
      </c>
      <c r="B957" s="112" t="s">
        <v>11322</v>
      </c>
    </row>
    <row r="958" spans="1:2" ht="15">
      <c r="A958" s="113" t="s">
        <v>5322</v>
      </c>
      <c r="B958" s="112" t="s">
        <v>11322</v>
      </c>
    </row>
    <row r="959" spans="1:2" ht="15">
      <c r="A959" s="113" t="s">
        <v>5323</v>
      </c>
      <c r="B959" s="112" t="s">
        <v>11322</v>
      </c>
    </row>
    <row r="960" spans="1:2" ht="15">
      <c r="A960" s="113" t="s">
        <v>5324</v>
      </c>
      <c r="B960" s="112" t="s">
        <v>11322</v>
      </c>
    </row>
    <row r="961" spans="1:2" ht="15">
      <c r="A961" s="113" t="s">
        <v>5325</v>
      </c>
      <c r="B961" s="112" t="s">
        <v>11322</v>
      </c>
    </row>
    <row r="962" spans="1:2" ht="15">
      <c r="A962" s="113" t="s">
        <v>5326</v>
      </c>
      <c r="B962" s="112" t="s">
        <v>11322</v>
      </c>
    </row>
    <row r="963" spans="1:2" ht="15">
      <c r="A963" s="113" t="s">
        <v>5327</v>
      </c>
      <c r="B963" s="112" t="s">
        <v>11322</v>
      </c>
    </row>
    <row r="964" spans="1:2" ht="15">
      <c r="A964" s="113" t="s">
        <v>5328</v>
      </c>
      <c r="B964" s="112" t="s">
        <v>11322</v>
      </c>
    </row>
    <row r="965" spans="1:2" ht="15">
      <c r="A965" s="113" t="s">
        <v>5329</v>
      </c>
      <c r="B965" s="112" t="s">
        <v>11322</v>
      </c>
    </row>
    <row r="966" spans="1:2" ht="15">
      <c r="A966" s="113" t="s">
        <v>5330</v>
      </c>
      <c r="B966" s="112" t="s">
        <v>11322</v>
      </c>
    </row>
    <row r="967" spans="1:2" ht="15">
      <c r="A967" s="113" t="s">
        <v>5331</v>
      </c>
      <c r="B967" s="112" t="s">
        <v>11322</v>
      </c>
    </row>
    <row r="968" spans="1:2" ht="15">
      <c r="A968" s="113" t="s">
        <v>5332</v>
      </c>
      <c r="B968" s="112" t="s">
        <v>11322</v>
      </c>
    </row>
    <row r="969" spans="1:2" ht="15">
      <c r="A969" s="113" t="s">
        <v>5333</v>
      </c>
      <c r="B969" s="112" t="s">
        <v>11322</v>
      </c>
    </row>
    <row r="970" spans="1:2" ht="15">
      <c r="A970" s="113" t="s">
        <v>5334</v>
      </c>
      <c r="B970" s="112" t="s">
        <v>11322</v>
      </c>
    </row>
    <row r="971" spans="1:2" ht="15">
      <c r="A971" s="113" t="s">
        <v>5335</v>
      </c>
      <c r="B971" s="112" t="s">
        <v>11322</v>
      </c>
    </row>
    <row r="972" spans="1:2" ht="15">
      <c r="A972" s="113" t="s">
        <v>5336</v>
      </c>
      <c r="B972" s="112" t="s">
        <v>11322</v>
      </c>
    </row>
    <row r="973" spans="1:2" ht="15">
      <c r="A973" s="113" t="s">
        <v>5337</v>
      </c>
      <c r="B973" s="112" t="s">
        <v>11322</v>
      </c>
    </row>
    <row r="974" spans="1:2" ht="15">
      <c r="A974" s="113" t="s">
        <v>5338</v>
      </c>
      <c r="B974" s="112" t="s">
        <v>11322</v>
      </c>
    </row>
    <row r="975" spans="1:2" ht="15">
      <c r="A975" s="113" t="s">
        <v>5339</v>
      </c>
      <c r="B975" s="112" t="s">
        <v>11322</v>
      </c>
    </row>
    <row r="976" spans="1:2" ht="15">
      <c r="A976" s="113" t="s">
        <v>5340</v>
      </c>
      <c r="B976" s="112" t="s">
        <v>11322</v>
      </c>
    </row>
    <row r="977" spans="1:2" ht="15">
      <c r="A977" s="113" t="s">
        <v>5341</v>
      </c>
      <c r="B977" s="112" t="s">
        <v>11322</v>
      </c>
    </row>
    <row r="978" spans="1:2" ht="15">
      <c r="A978" s="113" t="s">
        <v>5342</v>
      </c>
      <c r="B978" s="112" t="s">
        <v>11322</v>
      </c>
    </row>
    <row r="979" spans="1:2" ht="15">
      <c r="A979" s="113" t="s">
        <v>5343</v>
      </c>
      <c r="B979" s="112" t="s">
        <v>11322</v>
      </c>
    </row>
    <row r="980" spans="1:2" ht="15">
      <c r="A980" s="113" t="s">
        <v>5344</v>
      </c>
      <c r="B980" s="112" t="s">
        <v>11322</v>
      </c>
    </row>
    <row r="981" spans="1:2" ht="15">
      <c r="A981" s="113" t="s">
        <v>5345</v>
      </c>
      <c r="B981" s="112" t="s">
        <v>11322</v>
      </c>
    </row>
    <row r="982" spans="1:2" ht="15">
      <c r="A982" s="113" t="s">
        <v>5346</v>
      </c>
      <c r="B982" s="112" t="s">
        <v>11322</v>
      </c>
    </row>
    <row r="983" spans="1:2" ht="15">
      <c r="A983" s="113" t="s">
        <v>5347</v>
      </c>
      <c r="B983" s="112" t="s">
        <v>11322</v>
      </c>
    </row>
    <row r="984" spans="1:2" ht="15">
      <c r="A984" s="113" t="s">
        <v>5348</v>
      </c>
      <c r="B984" s="112" t="s">
        <v>11322</v>
      </c>
    </row>
    <row r="985" spans="1:2" ht="15">
      <c r="A985" s="113" t="s">
        <v>5349</v>
      </c>
      <c r="B985" s="112" t="s">
        <v>11322</v>
      </c>
    </row>
    <row r="986" spans="1:2" ht="15">
      <c r="A986" s="113" t="s">
        <v>5350</v>
      </c>
      <c r="B986" s="112" t="s">
        <v>11322</v>
      </c>
    </row>
    <row r="987" spans="1:2" ht="15">
      <c r="A987" s="113" t="s">
        <v>5351</v>
      </c>
      <c r="B987" s="112" t="s">
        <v>11322</v>
      </c>
    </row>
    <row r="988" spans="1:2" ht="15">
      <c r="A988" s="113" t="s">
        <v>5352</v>
      </c>
      <c r="B988" s="112" t="s">
        <v>11322</v>
      </c>
    </row>
    <row r="989" spans="1:2" ht="15">
      <c r="A989" s="113" t="s">
        <v>5353</v>
      </c>
      <c r="B989" s="112" t="s">
        <v>11322</v>
      </c>
    </row>
    <row r="990" spans="1:2" ht="15">
      <c r="A990" s="113" t="s">
        <v>5354</v>
      </c>
      <c r="B990" s="112" t="s">
        <v>11322</v>
      </c>
    </row>
    <row r="991" spans="1:2" ht="15">
      <c r="A991" s="113" t="s">
        <v>5355</v>
      </c>
      <c r="B991" s="112" t="s">
        <v>11322</v>
      </c>
    </row>
    <row r="992" spans="1:2" ht="15">
      <c r="A992" s="113" t="s">
        <v>5356</v>
      </c>
      <c r="B992" s="112" t="s">
        <v>11322</v>
      </c>
    </row>
    <row r="993" spans="1:2" ht="15">
      <c r="A993" s="113" t="s">
        <v>5357</v>
      </c>
      <c r="B993" s="112" t="s">
        <v>11322</v>
      </c>
    </row>
    <row r="994" spans="1:2" ht="15">
      <c r="A994" s="113" t="s">
        <v>5358</v>
      </c>
      <c r="B994" s="112" t="s">
        <v>11322</v>
      </c>
    </row>
    <row r="995" spans="1:2" ht="15">
      <c r="A995" s="113" t="s">
        <v>5359</v>
      </c>
      <c r="B995" s="112" t="s">
        <v>11322</v>
      </c>
    </row>
    <row r="996" spans="1:2" ht="15">
      <c r="A996" s="113" t="s">
        <v>5360</v>
      </c>
      <c r="B996" s="112" t="s">
        <v>11322</v>
      </c>
    </row>
    <row r="997" spans="1:2" ht="15">
      <c r="A997" s="113" t="s">
        <v>5361</v>
      </c>
      <c r="B997" s="112" t="s">
        <v>11322</v>
      </c>
    </row>
    <row r="998" spans="1:2" ht="15">
      <c r="A998" s="113" t="s">
        <v>5362</v>
      </c>
      <c r="B998" s="112" t="s">
        <v>11322</v>
      </c>
    </row>
    <row r="999" spans="1:2" ht="15">
      <c r="A999" s="113" t="s">
        <v>5363</v>
      </c>
      <c r="B999" s="112" t="s">
        <v>11322</v>
      </c>
    </row>
    <row r="1000" spans="1:2" ht="15">
      <c r="A1000" s="113" t="s">
        <v>5364</v>
      </c>
      <c r="B1000" s="112" t="s">
        <v>11322</v>
      </c>
    </row>
    <row r="1001" spans="1:2" ht="15">
      <c r="A1001" s="113" t="s">
        <v>5365</v>
      </c>
      <c r="B1001" s="112" t="s">
        <v>11322</v>
      </c>
    </row>
    <row r="1002" spans="1:2" ht="15">
      <c r="A1002" s="113" t="s">
        <v>5366</v>
      </c>
      <c r="B1002" s="112" t="s">
        <v>11322</v>
      </c>
    </row>
    <row r="1003" spans="1:2" ht="15">
      <c r="A1003" s="113" t="s">
        <v>5367</v>
      </c>
      <c r="B1003" s="112" t="s">
        <v>11322</v>
      </c>
    </row>
    <row r="1004" spans="1:2" ht="15">
      <c r="A1004" s="113" t="s">
        <v>5368</v>
      </c>
      <c r="B1004" s="112" t="s">
        <v>11322</v>
      </c>
    </row>
    <row r="1005" spans="1:2" ht="15">
      <c r="A1005" s="113" t="s">
        <v>5369</v>
      </c>
      <c r="B1005" s="112" t="s">
        <v>11322</v>
      </c>
    </row>
    <row r="1006" spans="1:2" ht="15">
      <c r="A1006" s="113" t="s">
        <v>5370</v>
      </c>
      <c r="B1006" s="112" t="s">
        <v>11322</v>
      </c>
    </row>
    <row r="1007" spans="1:2" ht="15">
      <c r="A1007" s="113" t="s">
        <v>5371</v>
      </c>
      <c r="B1007" s="112" t="s">
        <v>11322</v>
      </c>
    </row>
    <row r="1008" spans="1:2" ht="15">
      <c r="A1008" s="113" t="s">
        <v>5372</v>
      </c>
      <c r="B1008" s="112" t="s">
        <v>11322</v>
      </c>
    </row>
    <row r="1009" spans="1:2" ht="15">
      <c r="A1009" s="113" t="s">
        <v>5373</v>
      </c>
      <c r="B1009" s="112" t="s">
        <v>11322</v>
      </c>
    </row>
    <row r="1010" spans="1:2" ht="15">
      <c r="A1010" s="113" t="s">
        <v>5374</v>
      </c>
      <c r="B1010" s="112" t="s">
        <v>11322</v>
      </c>
    </row>
    <row r="1011" spans="1:2" ht="15">
      <c r="A1011" s="113" t="s">
        <v>5375</v>
      </c>
      <c r="B1011" s="112" t="s">
        <v>11322</v>
      </c>
    </row>
    <row r="1012" spans="1:2" ht="15">
      <c r="A1012" s="113" t="s">
        <v>5376</v>
      </c>
      <c r="B1012" s="112" t="s">
        <v>11322</v>
      </c>
    </row>
    <row r="1013" spans="1:2" ht="15">
      <c r="A1013" s="113" t="s">
        <v>5377</v>
      </c>
      <c r="B1013" s="112" t="s">
        <v>11322</v>
      </c>
    </row>
    <row r="1014" spans="1:2" ht="15">
      <c r="A1014" s="113" t="s">
        <v>5378</v>
      </c>
      <c r="B1014" s="112" t="s">
        <v>11322</v>
      </c>
    </row>
    <row r="1015" spans="1:2" ht="15">
      <c r="A1015" s="113" t="s">
        <v>5379</v>
      </c>
      <c r="B1015" s="112" t="s">
        <v>11322</v>
      </c>
    </row>
    <row r="1016" spans="1:2" ht="15">
      <c r="A1016" s="113" t="s">
        <v>5380</v>
      </c>
      <c r="B1016" s="112" t="s">
        <v>11322</v>
      </c>
    </row>
    <row r="1017" spans="1:2" ht="15">
      <c r="A1017" s="113" t="s">
        <v>5381</v>
      </c>
      <c r="B1017" s="112" t="s">
        <v>11322</v>
      </c>
    </row>
    <row r="1018" spans="1:2" ht="15">
      <c r="A1018" s="113" t="s">
        <v>5382</v>
      </c>
      <c r="B1018" s="112" t="s">
        <v>11322</v>
      </c>
    </row>
    <row r="1019" spans="1:2" ht="15">
      <c r="A1019" s="113" t="s">
        <v>5383</v>
      </c>
      <c r="B1019" s="112" t="s">
        <v>11322</v>
      </c>
    </row>
    <row r="1020" spans="1:2" ht="15">
      <c r="A1020" s="113" t="s">
        <v>5384</v>
      </c>
      <c r="B1020" s="112" t="s">
        <v>11322</v>
      </c>
    </row>
    <row r="1021" spans="1:2" ht="15">
      <c r="A1021" s="113" t="s">
        <v>5385</v>
      </c>
      <c r="B1021" s="112" t="s">
        <v>11322</v>
      </c>
    </row>
    <row r="1022" spans="1:2" ht="15">
      <c r="A1022" s="113" t="s">
        <v>5386</v>
      </c>
      <c r="B1022" s="112" t="s">
        <v>11322</v>
      </c>
    </row>
    <row r="1023" spans="1:2" ht="15">
      <c r="A1023" s="113" t="s">
        <v>5387</v>
      </c>
      <c r="B1023" s="112" t="s">
        <v>11322</v>
      </c>
    </row>
    <row r="1024" spans="1:2" ht="15">
      <c r="A1024" s="113" t="s">
        <v>5388</v>
      </c>
      <c r="B1024" s="112" t="s">
        <v>11322</v>
      </c>
    </row>
    <row r="1025" spans="1:2" ht="15">
      <c r="A1025" s="113" t="s">
        <v>5389</v>
      </c>
      <c r="B1025" s="112" t="s">
        <v>11322</v>
      </c>
    </row>
    <row r="1026" spans="1:2" ht="15">
      <c r="A1026" s="113" t="s">
        <v>5390</v>
      </c>
      <c r="B1026" s="112" t="s">
        <v>11322</v>
      </c>
    </row>
    <row r="1027" spans="1:2" ht="15">
      <c r="A1027" s="113" t="s">
        <v>5391</v>
      </c>
      <c r="B1027" s="112" t="s">
        <v>11322</v>
      </c>
    </row>
    <row r="1028" spans="1:2" ht="15">
      <c r="A1028" s="113" t="s">
        <v>5392</v>
      </c>
      <c r="B1028" s="112" t="s">
        <v>11322</v>
      </c>
    </row>
    <row r="1029" spans="1:2" ht="15">
      <c r="A1029" s="113" t="s">
        <v>5393</v>
      </c>
      <c r="B1029" s="112" t="s">
        <v>11322</v>
      </c>
    </row>
    <row r="1030" spans="1:2" ht="15">
      <c r="A1030" s="113" t="s">
        <v>5394</v>
      </c>
      <c r="B1030" s="112" t="s">
        <v>11322</v>
      </c>
    </row>
    <row r="1031" spans="1:2" ht="15">
      <c r="A1031" s="113" t="s">
        <v>5395</v>
      </c>
      <c r="B1031" s="112" t="s">
        <v>11322</v>
      </c>
    </row>
    <row r="1032" spans="1:2" ht="15">
      <c r="A1032" s="113" t="s">
        <v>5396</v>
      </c>
      <c r="B1032" s="112" t="s">
        <v>11322</v>
      </c>
    </row>
    <row r="1033" spans="1:2" ht="15">
      <c r="A1033" s="113" t="s">
        <v>5397</v>
      </c>
      <c r="B1033" s="112" t="s">
        <v>11322</v>
      </c>
    </row>
    <row r="1034" spans="1:2" ht="15">
      <c r="A1034" s="113" t="s">
        <v>5398</v>
      </c>
      <c r="B1034" s="112" t="s">
        <v>11322</v>
      </c>
    </row>
    <row r="1035" spans="1:2" ht="15">
      <c r="A1035" s="113" t="s">
        <v>5399</v>
      </c>
      <c r="B1035" s="112" t="s">
        <v>11322</v>
      </c>
    </row>
    <row r="1036" spans="1:2" ht="15">
      <c r="A1036" s="113" t="s">
        <v>5400</v>
      </c>
      <c r="B1036" s="112" t="s">
        <v>11322</v>
      </c>
    </row>
    <row r="1037" spans="1:2" ht="15">
      <c r="A1037" s="113" t="s">
        <v>5401</v>
      </c>
      <c r="B1037" s="112" t="s">
        <v>11322</v>
      </c>
    </row>
    <row r="1038" spans="1:2" ht="15">
      <c r="A1038" s="113" t="s">
        <v>5402</v>
      </c>
      <c r="B1038" s="112" t="s">
        <v>11322</v>
      </c>
    </row>
    <row r="1039" spans="1:2" ht="15">
      <c r="A1039" s="113" t="s">
        <v>5403</v>
      </c>
      <c r="B1039" s="112" t="s">
        <v>11322</v>
      </c>
    </row>
    <row r="1040" spans="1:2" ht="15">
      <c r="A1040" s="113" t="s">
        <v>5404</v>
      </c>
      <c r="B1040" s="112" t="s">
        <v>11322</v>
      </c>
    </row>
    <row r="1041" spans="1:2" ht="15">
      <c r="A1041" s="113" t="s">
        <v>5405</v>
      </c>
      <c r="B1041" s="112" t="s">
        <v>11322</v>
      </c>
    </row>
    <row r="1042" spans="1:2" ht="15">
      <c r="A1042" s="113" t="s">
        <v>5406</v>
      </c>
      <c r="B1042" s="112" t="s">
        <v>11322</v>
      </c>
    </row>
    <row r="1043" spans="1:2" ht="15">
      <c r="A1043" s="113" t="s">
        <v>5407</v>
      </c>
      <c r="B1043" s="112" t="s">
        <v>11322</v>
      </c>
    </row>
    <row r="1044" spans="1:2" ht="15">
      <c r="A1044" s="113" t="s">
        <v>5408</v>
      </c>
      <c r="B1044" s="112" t="s">
        <v>11322</v>
      </c>
    </row>
    <row r="1045" spans="1:2" ht="15">
      <c r="A1045" s="113" t="s">
        <v>5409</v>
      </c>
      <c r="B1045" s="112" t="s">
        <v>11322</v>
      </c>
    </row>
    <row r="1046" spans="1:2" ht="15">
      <c r="A1046" s="113" t="s">
        <v>5410</v>
      </c>
      <c r="B1046" s="112" t="s">
        <v>11322</v>
      </c>
    </row>
    <row r="1047" spans="1:2" ht="15">
      <c r="A1047" s="113" t="s">
        <v>5411</v>
      </c>
      <c r="B1047" s="112" t="s">
        <v>11322</v>
      </c>
    </row>
    <row r="1048" spans="1:2" ht="15">
      <c r="A1048" s="113" t="s">
        <v>5412</v>
      </c>
      <c r="B1048" s="112" t="s">
        <v>11322</v>
      </c>
    </row>
    <row r="1049" spans="1:2" ht="15">
      <c r="A1049" s="113" t="s">
        <v>5413</v>
      </c>
      <c r="B1049" s="112" t="s">
        <v>11322</v>
      </c>
    </row>
    <row r="1050" spans="1:2" ht="15">
      <c r="A1050" s="113" t="s">
        <v>5414</v>
      </c>
      <c r="B1050" s="112" t="s">
        <v>11322</v>
      </c>
    </row>
    <row r="1051" spans="1:2" ht="15">
      <c r="A1051" s="113" t="s">
        <v>5415</v>
      </c>
      <c r="B1051" s="112" t="s">
        <v>11322</v>
      </c>
    </row>
    <row r="1052" spans="1:2" ht="15">
      <c r="A1052" s="113" t="s">
        <v>5416</v>
      </c>
      <c r="B1052" s="112" t="s">
        <v>11322</v>
      </c>
    </row>
    <row r="1053" spans="1:2" ht="15">
      <c r="A1053" s="113" t="s">
        <v>5417</v>
      </c>
      <c r="B1053" s="112" t="s">
        <v>11322</v>
      </c>
    </row>
    <row r="1054" spans="1:2" ht="15">
      <c r="A1054" s="113" t="s">
        <v>5418</v>
      </c>
      <c r="B1054" s="112" t="s">
        <v>11322</v>
      </c>
    </row>
    <row r="1055" spans="1:2" ht="15">
      <c r="A1055" s="113" t="s">
        <v>5419</v>
      </c>
      <c r="B1055" s="112" t="s">
        <v>11322</v>
      </c>
    </row>
    <row r="1056" spans="1:2" ht="15">
      <c r="A1056" s="113" t="s">
        <v>5420</v>
      </c>
      <c r="B1056" s="112" t="s">
        <v>11322</v>
      </c>
    </row>
    <row r="1057" spans="1:2" ht="15">
      <c r="A1057" s="113" t="s">
        <v>5421</v>
      </c>
      <c r="B1057" s="112" t="s">
        <v>11322</v>
      </c>
    </row>
    <row r="1058" spans="1:2" ht="15">
      <c r="A1058" s="113" t="s">
        <v>5422</v>
      </c>
      <c r="B1058" s="112" t="s">
        <v>11322</v>
      </c>
    </row>
    <row r="1059" spans="1:2" ht="15">
      <c r="A1059" s="113" t="s">
        <v>5423</v>
      </c>
      <c r="B1059" s="112" t="s">
        <v>11322</v>
      </c>
    </row>
    <row r="1060" spans="1:2" ht="15">
      <c r="A1060" s="113" t="s">
        <v>5424</v>
      </c>
      <c r="B1060" s="112" t="s">
        <v>11322</v>
      </c>
    </row>
    <row r="1061" spans="1:2" ht="15">
      <c r="A1061" s="113" t="s">
        <v>5425</v>
      </c>
      <c r="B1061" s="112" t="s">
        <v>11322</v>
      </c>
    </row>
    <row r="1062" spans="1:2" ht="15">
      <c r="A1062" s="113" t="s">
        <v>5426</v>
      </c>
      <c r="B1062" s="112" t="s">
        <v>11322</v>
      </c>
    </row>
    <row r="1063" spans="1:2" ht="15">
      <c r="A1063" s="113" t="s">
        <v>5427</v>
      </c>
      <c r="B1063" s="112" t="s">
        <v>11322</v>
      </c>
    </row>
    <row r="1064" spans="1:2" ht="15">
      <c r="A1064" s="113" t="s">
        <v>5428</v>
      </c>
      <c r="B1064" s="112" t="s">
        <v>11322</v>
      </c>
    </row>
    <row r="1065" spans="1:2" ht="15">
      <c r="A1065" s="113" t="s">
        <v>5429</v>
      </c>
      <c r="B1065" s="112" t="s">
        <v>11322</v>
      </c>
    </row>
    <row r="1066" spans="1:2" ht="15">
      <c r="A1066" s="113" t="s">
        <v>5430</v>
      </c>
      <c r="B1066" s="112" t="s">
        <v>11322</v>
      </c>
    </row>
    <row r="1067" spans="1:2" ht="15">
      <c r="A1067" s="113" t="s">
        <v>5431</v>
      </c>
      <c r="B1067" s="112" t="s">
        <v>11322</v>
      </c>
    </row>
    <row r="1068" spans="1:2" ht="15">
      <c r="A1068" s="113" t="s">
        <v>5432</v>
      </c>
      <c r="B1068" s="112" t="s">
        <v>11322</v>
      </c>
    </row>
    <row r="1069" spans="1:2" ht="15">
      <c r="A1069" s="113" t="s">
        <v>5433</v>
      </c>
      <c r="B1069" s="112" t="s">
        <v>11322</v>
      </c>
    </row>
    <row r="1070" spans="1:2" ht="15">
      <c r="A1070" s="113" t="s">
        <v>5434</v>
      </c>
      <c r="B1070" s="112" t="s">
        <v>11322</v>
      </c>
    </row>
    <row r="1071" spans="1:2" ht="15">
      <c r="A1071" s="113" t="s">
        <v>5435</v>
      </c>
      <c r="B1071" s="112" t="s">
        <v>11322</v>
      </c>
    </row>
    <row r="1072" spans="1:2" ht="15">
      <c r="A1072" s="113" t="s">
        <v>5436</v>
      </c>
      <c r="B1072" s="112" t="s">
        <v>11322</v>
      </c>
    </row>
    <row r="1073" spans="1:2" ht="15">
      <c r="A1073" s="113" t="s">
        <v>5437</v>
      </c>
      <c r="B1073" s="112" t="s">
        <v>11322</v>
      </c>
    </row>
    <row r="1074" spans="1:2" ht="15">
      <c r="A1074" s="113" t="s">
        <v>5438</v>
      </c>
      <c r="B1074" s="112" t="s">
        <v>11322</v>
      </c>
    </row>
    <row r="1075" spans="1:2" ht="15">
      <c r="A1075" s="113" t="s">
        <v>5439</v>
      </c>
      <c r="B1075" s="112" t="s">
        <v>11322</v>
      </c>
    </row>
    <row r="1076" spans="1:2" ht="15">
      <c r="A1076" s="113" t="s">
        <v>5440</v>
      </c>
      <c r="B1076" s="112" t="s">
        <v>11322</v>
      </c>
    </row>
    <row r="1077" spans="1:2" ht="15">
      <c r="A1077" s="113" t="s">
        <v>5441</v>
      </c>
      <c r="B1077" s="112" t="s">
        <v>11322</v>
      </c>
    </row>
    <row r="1078" spans="1:2" ht="15">
      <c r="A1078" s="113" t="s">
        <v>5442</v>
      </c>
      <c r="B1078" s="112" t="s">
        <v>11322</v>
      </c>
    </row>
    <row r="1079" spans="1:2" ht="15">
      <c r="A1079" s="113" t="s">
        <v>5443</v>
      </c>
      <c r="B1079" s="112" t="s">
        <v>11322</v>
      </c>
    </row>
    <row r="1080" spans="1:2" ht="15">
      <c r="A1080" s="113" t="s">
        <v>5444</v>
      </c>
      <c r="B1080" s="112" t="s">
        <v>11322</v>
      </c>
    </row>
    <row r="1081" spans="1:2" ht="15">
      <c r="A1081" s="113" t="s">
        <v>5445</v>
      </c>
      <c r="B1081" s="112" t="s">
        <v>11322</v>
      </c>
    </row>
    <row r="1082" spans="1:2" ht="15">
      <c r="A1082" s="113" t="s">
        <v>5446</v>
      </c>
      <c r="B1082" s="112" t="s">
        <v>11322</v>
      </c>
    </row>
    <row r="1083" spans="1:2" ht="15">
      <c r="A1083" s="113" t="s">
        <v>5447</v>
      </c>
      <c r="B1083" s="112" t="s">
        <v>11322</v>
      </c>
    </row>
    <row r="1084" spans="1:2" ht="15">
      <c r="A1084" s="113" t="s">
        <v>5448</v>
      </c>
      <c r="B1084" s="112" t="s">
        <v>11322</v>
      </c>
    </row>
    <row r="1085" spans="1:2" ht="15">
      <c r="A1085" s="113" t="s">
        <v>5449</v>
      </c>
      <c r="B1085" s="112" t="s">
        <v>11322</v>
      </c>
    </row>
    <row r="1086" spans="1:2" ht="15">
      <c r="A1086" s="113" t="s">
        <v>5450</v>
      </c>
      <c r="B1086" s="112" t="s">
        <v>11322</v>
      </c>
    </row>
    <row r="1087" spans="1:2" ht="15">
      <c r="A1087" s="113" t="s">
        <v>5451</v>
      </c>
      <c r="B1087" s="112" t="s">
        <v>11322</v>
      </c>
    </row>
    <row r="1088" spans="1:2" ht="15">
      <c r="A1088" s="113" t="s">
        <v>5452</v>
      </c>
      <c r="B1088" s="112" t="s">
        <v>11322</v>
      </c>
    </row>
    <row r="1089" spans="1:2" ht="15">
      <c r="A1089" s="113" t="s">
        <v>5453</v>
      </c>
      <c r="B1089" s="112" t="s">
        <v>11322</v>
      </c>
    </row>
    <row r="1090" spans="1:2" ht="15">
      <c r="A1090" s="113" t="s">
        <v>5454</v>
      </c>
      <c r="B1090" s="112" t="s">
        <v>11322</v>
      </c>
    </row>
    <row r="1091" spans="1:2" ht="15">
      <c r="A1091" s="113" t="s">
        <v>5455</v>
      </c>
      <c r="B1091" s="112" t="s">
        <v>11322</v>
      </c>
    </row>
    <row r="1092" spans="1:2" ht="15">
      <c r="A1092" s="113" t="s">
        <v>5456</v>
      </c>
      <c r="B1092" s="112" t="s">
        <v>11322</v>
      </c>
    </row>
    <row r="1093" spans="1:2" ht="15">
      <c r="A1093" s="113" t="s">
        <v>5457</v>
      </c>
      <c r="B1093" s="112" t="s">
        <v>11322</v>
      </c>
    </row>
    <row r="1094" spans="1:2" ht="15">
      <c r="A1094" s="113" t="s">
        <v>5458</v>
      </c>
      <c r="B1094" s="112" t="s">
        <v>11322</v>
      </c>
    </row>
    <row r="1095" spans="1:2" ht="15">
      <c r="A1095" s="113" t="s">
        <v>5459</v>
      </c>
      <c r="B1095" s="112" t="s">
        <v>11322</v>
      </c>
    </row>
    <row r="1096" spans="1:2" ht="15">
      <c r="A1096" s="113" t="s">
        <v>5460</v>
      </c>
      <c r="B1096" s="112" t="s">
        <v>11322</v>
      </c>
    </row>
    <row r="1097" spans="1:2" ht="15">
      <c r="A1097" s="113" t="s">
        <v>5461</v>
      </c>
      <c r="B1097" s="112" t="s">
        <v>11322</v>
      </c>
    </row>
    <row r="1098" spans="1:2" ht="15">
      <c r="A1098" s="113" t="s">
        <v>5462</v>
      </c>
      <c r="B1098" s="112" t="s">
        <v>11322</v>
      </c>
    </row>
    <row r="1099" spans="1:2" ht="15">
      <c r="A1099" s="113" t="s">
        <v>5463</v>
      </c>
      <c r="B1099" s="112" t="s">
        <v>11322</v>
      </c>
    </row>
    <row r="1100" spans="1:2" ht="15">
      <c r="A1100" s="113" t="s">
        <v>5464</v>
      </c>
      <c r="B1100" s="112" t="s">
        <v>11322</v>
      </c>
    </row>
    <row r="1101" spans="1:2" ht="15">
      <c r="A1101" s="113" t="s">
        <v>5465</v>
      </c>
      <c r="B1101" s="112" t="s">
        <v>11322</v>
      </c>
    </row>
    <row r="1102" spans="1:2" ht="15">
      <c r="A1102" s="113" t="s">
        <v>5466</v>
      </c>
      <c r="B1102" s="112" t="s">
        <v>11322</v>
      </c>
    </row>
    <row r="1103" spans="1:2" ht="15">
      <c r="A1103" s="113" t="s">
        <v>5467</v>
      </c>
      <c r="B1103" s="112" t="s">
        <v>11322</v>
      </c>
    </row>
    <row r="1104" spans="1:2" ht="15">
      <c r="A1104" s="113" t="s">
        <v>5468</v>
      </c>
      <c r="B1104" s="112" t="s">
        <v>11322</v>
      </c>
    </row>
    <row r="1105" spans="1:2" ht="15">
      <c r="A1105" s="113" t="s">
        <v>5469</v>
      </c>
      <c r="B1105" s="112" t="s">
        <v>11322</v>
      </c>
    </row>
    <row r="1106" spans="1:2" ht="15">
      <c r="A1106" s="113" t="s">
        <v>5470</v>
      </c>
      <c r="B1106" s="112" t="s">
        <v>11322</v>
      </c>
    </row>
    <row r="1107" spans="1:2" ht="15">
      <c r="A1107" s="113" t="s">
        <v>5471</v>
      </c>
      <c r="B1107" s="112" t="s">
        <v>11322</v>
      </c>
    </row>
    <row r="1108" spans="1:2" ht="15">
      <c r="A1108" s="113" t="s">
        <v>5472</v>
      </c>
      <c r="B1108" s="112" t="s">
        <v>11322</v>
      </c>
    </row>
    <row r="1109" spans="1:2" ht="15">
      <c r="A1109" s="113" t="s">
        <v>5473</v>
      </c>
      <c r="B1109" s="112" t="s">
        <v>11322</v>
      </c>
    </row>
    <row r="1110" spans="1:2" ht="15">
      <c r="A1110" s="113" t="s">
        <v>5474</v>
      </c>
      <c r="B1110" s="112" t="s">
        <v>11322</v>
      </c>
    </row>
    <row r="1111" spans="1:2" ht="15">
      <c r="A1111" s="113" t="s">
        <v>5475</v>
      </c>
      <c r="B1111" s="112" t="s">
        <v>11322</v>
      </c>
    </row>
    <row r="1112" spans="1:2" ht="15">
      <c r="A1112" s="113" t="s">
        <v>5476</v>
      </c>
      <c r="B1112" s="112" t="s">
        <v>11322</v>
      </c>
    </row>
    <row r="1113" spans="1:2" ht="15">
      <c r="A1113" s="113" t="s">
        <v>5477</v>
      </c>
      <c r="B1113" s="112" t="s">
        <v>11322</v>
      </c>
    </row>
    <row r="1114" spans="1:2" ht="15">
      <c r="A1114" s="113" t="s">
        <v>5478</v>
      </c>
      <c r="B1114" s="112" t="s">
        <v>11322</v>
      </c>
    </row>
    <row r="1115" spans="1:2" ht="15">
      <c r="A1115" s="113" t="s">
        <v>5479</v>
      </c>
      <c r="B1115" s="112" t="s">
        <v>11322</v>
      </c>
    </row>
    <row r="1116" spans="1:2" ht="15">
      <c r="A1116" s="113" t="s">
        <v>5480</v>
      </c>
      <c r="B1116" s="112" t="s">
        <v>11322</v>
      </c>
    </row>
    <row r="1117" spans="1:2" ht="15">
      <c r="A1117" s="113" t="s">
        <v>5481</v>
      </c>
      <c r="B1117" s="112" t="s">
        <v>11322</v>
      </c>
    </row>
    <row r="1118" spans="1:2" ht="15">
      <c r="A1118" s="113" t="s">
        <v>5482</v>
      </c>
      <c r="B1118" s="112" t="s">
        <v>11322</v>
      </c>
    </row>
    <row r="1119" spans="1:2" ht="15">
      <c r="A1119" s="113" t="s">
        <v>5483</v>
      </c>
      <c r="B1119" s="112" t="s">
        <v>11322</v>
      </c>
    </row>
    <row r="1120" spans="1:2" ht="15">
      <c r="A1120" s="113" t="s">
        <v>5484</v>
      </c>
      <c r="B1120" s="112" t="s">
        <v>11322</v>
      </c>
    </row>
    <row r="1121" spans="1:2" ht="15">
      <c r="A1121" s="113" t="s">
        <v>5485</v>
      </c>
      <c r="B1121" s="112" t="s">
        <v>11322</v>
      </c>
    </row>
    <row r="1122" spans="1:2" ht="15">
      <c r="A1122" s="113" t="s">
        <v>5486</v>
      </c>
      <c r="B1122" s="112" t="s">
        <v>11322</v>
      </c>
    </row>
    <row r="1123" spans="1:2" ht="15">
      <c r="A1123" s="113" t="s">
        <v>5487</v>
      </c>
      <c r="B1123" s="112" t="s">
        <v>11322</v>
      </c>
    </row>
    <row r="1124" spans="1:2" ht="15">
      <c r="A1124" s="113" t="s">
        <v>5488</v>
      </c>
      <c r="B1124" s="112" t="s">
        <v>11322</v>
      </c>
    </row>
    <row r="1125" spans="1:2" ht="15">
      <c r="A1125" s="113" t="s">
        <v>5489</v>
      </c>
      <c r="B1125" s="112" t="s">
        <v>11322</v>
      </c>
    </row>
    <row r="1126" spans="1:2" ht="15">
      <c r="A1126" s="113" t="s">
        <v>5490</v>
      </c>
      <c r="B1126" s="112" t="s">
        <v>11322</v>
      </c>
    </row>
    <row r="1127" spans="1:2" ht="15">
      <c r="A1127" s="113" t="s">
        <v>5491</v>
      </c>
      <c r="B1127" s="112" t="s">
        <v>11322</v>
      </c>
    </row>
    <row r="1128" spans="1:2" ht="15">
      <c r="A1128" s="113" t="s">
        <v>5492</v>
      </c>
      <c r="B1128" s="112" t="s">
        <v>11322</v>
      </c>
    </row>
    <row r="1129" spans="1:2" ht="15">
      <c r="A1129" s="113" t="s">
        <v>5493</v>
      </c>
      <c r="B1129" s="112" t="s">
        <v>11322</v>
      </c>
    </row>
    <row r="1130" spans="1:2" ht="15">
      <c r="A1130" s="113" t="s">
        <v>5494</v>
      </c>
      <c r="B1130" s="112" t="s">
        <v>11322</v>
      </c>
    </row>
    <row r="1131" spans="1:2" ht="15">
      <c r="A1131" s="113" t="s">
        <v>5495</v>
      </c>
      <c r="B1131" s="112" t="s">
        <v>11322</v>
      </c>
    </row>
    <row r="1132" spans="1:2" ht="15">
      <c r="A1132" s="113" t="s">
        <v>5496</v>
      </c>
      <c r="B1132" s="112" t="s">
        <v>11322</v>
      </c>
    </row>
    <row r="1133" spans="1:2" ht="15">
      <c r="A1133" s="113" t="s">
        <v>5497</v>
      </c>
      <c r="B1133" s="112" t="s">
        <v>11322</v>
      </c>
    </row>
    <row r="1134" spans="1:2" ht="15">
      <c r="A1134" s="113" t="s">
        <v>5498</v>
      </c>
      <c r="B1134" s="112" t="s">
        <v>11322</v>
      </c>
    </row>
    <row r="1135" spans="1:2" ht="15">
      <c r="A1135" s="113" t="s">
        <v>5499</v>
      </c>
      <c r="B1135" s="112" t="s">
        <v>11322</v>
      </c>
    </row>
    <row r="1136" spans="1:2" ht="15">
      <c r="A1136" s="113" t="s">
        <v>5500</v>
      </c>
      <c r="B1136" s="112" t="s">
        <v>11322</v>
      </c>
    </row>
    <row r="1137" spans="1:2" ht="15">
      <c r="A1137" s="113" t="s">
        <v>5501</v>
      </c>
      <c r="B1137" s="112" t="s">
        <v>11322</v>
      </c>
    </row>
    <row r="1138" spans="1:2" ht="15">
      <c r="A1138" s="113" t="s">
        <v>5502</v>
      </c>
      <c r="B1138" s="112" t="s">
        <v>11322</v>
      </c>
    </row>
    <row r="1139" spans="1:2" ht="15">
      <c r="A1139" s="113" t="s">
        <v>5503</v>
      </c>
      <c r="B1139" s="112" t="s">
        <v>11322</v>
      </c>
    </row>
    <row r="1140" spans="1:2" ht="15">
      <c r="A1140" s="113" t="s">
        <v>5504</v>
      </c>
      <c r="B1140" s="112" t="s">
        <v>11322</v>
      </c>
    </row>
    <row r="1141" spans="1:2" ht="15">
      <c r="A1141" s="113" t="s">
        <v>5505</v>
      </c>
      <c r="B1141" s="112" t="s">
        <v>11322</v>
      </c>
    </row>
    <row r="1142" spans="1:2" ht="15">
      <c r="A1142" s="113" t="s">
        <v>5506</v>
      </c>
      <c r="B1142" s="112" t="s">
        <v>11322</v>
      </c>
    </row>
    <row r="1143" spans="1:2" ht="15">
      <c r="A1143" s="113" t="s">
        <v>5507</v>
      </c>
      <c r="B1143" s="112" t="s">
        <v>11322</v>
      </c>
    </row>
    <row r="1144" spans="1:2" ht="15">
      <c r="A1144" s="113" t="s">
        <v>5508</v>
      </c>
      <c r="B1144" s="112" t="s">
        <v>11322</v>
      </c>
    </row>
    <row r="1145" spans="1:2" ht="15">
      <c r="A1145" s="113" t="s">
        <v>5509</v>
      </c>
      <c r="B1145" s="112" t="s">
        <v>11322</v>
      </c>
    </row>
    <row r="1146" spans="1:2" ht="15">
      <c r="A1146" s="113" t="s">
        <v>5510</v>
      </c>
      <c r="B1146" s="112" t="s">
        <v>11322</v>
      </c>
    </row>
    <row r="1147" spans="1:2" ht="15">
      <c r="A1147" s="113" t="s">
        <v>5511</v>
      </c>
      <c r="B1147" s="112" t="s">
        <v>11322</v>
      </c>
    </row>
    <row r="1148" spans="1:2" ht="15">
      <c r="A1148" s="113" t="s">
        <v>5512</v>
      </c>
      <c r="B1148" s="112" t="s">
        <v>11322</v>
      </c>
    </row>
    <row r="1149" spans="1:2" ht="15">
      <c r="A1149" s="113" t="s">
        <v>5513</v>
      </c>
      <c r="B1149" s="112" t="s">
        <v>11322</v>
      </c>
    </row>
    <row r="1150" spans="1:2" ht="15">
      <c r="A1150" s="113" t="s">
        <v>5514</v>
      </c>
      <c r="B1150" s="112" t="s">
        <v>11322</v>
      </c>
    </row>
    <row r="1151" spans="1:2" ht="15">
      <c r="A1151" s="113" t="s">
        <v>5515</v>
      </c>
      <c r="B1151" s="112" t="s">
        <v>11322</v>
      </c>
    </row>
    <row r="1152" spans="1:2" ht="15">
      <c r="A1152" s="113" t="s">
        <v>5516</v>
      </c>
      <c r="B1152" s="112" t="s">
        <v>11322</v>
      </c>
    </row>
    <row r="1153" spans="1:2" ht="15">
      <c r="A1153" s="113" t="s">
        <v>5517</v>
      </c>
      <c r="B1153" s="112" t="s">
        <v>11322</v>
      </c>
    </row>
    <row r="1154" spans="1:2" ht="15">
      <c r="A1154" s="113" t="s">
        <v>5518</v>
      </c>
      <c r="B1154" s="112" t="s">
        <v>11322</v>
      </c>
    </row>
    <row r="1155" spans="1:2" ht="15">
      <c r="A1155" s="113" t="s">
        <v>5519</v>
      </c>
      <c r="B1155" s="112" t="s">
        <v>11322</v>
      </c>
    </row>
    <row r="1156" spans="1:2" ht="15">
      <c r="A1156" s="113" t="s">
        <v>5520</v>
      </c>
      <c r="B1156" s="112" t="s">
        <v>11322</v>
      </c>
    </row>
    <row r="1157" spans="1:2" ht="15">
      <c r="A1157" s="113" t="s">
        <v>5521</v>
      </c>
      <c r="B1157" s="112" t="s">
        <v>11322</v>
      </c>
    </row>
    <row r="1158" spans="1:2" ht="15">
      <c r="A1158" s="113" t="s">
        <v>5522</v>
      </c>
      <c r="B1158" s="112" t="s">
        <v>11322</v>
      </c>
    </row>
    <row r="1159" spans="1:2" ht="15">
      <c r="A1159" s="113" t="s">
        <v>5523</v>
      </c>
      <c r="B1159" s="112" t="s">
        <v>11322</v>
      </c>
    </row>
    <row r="1160" spans="1:2" ht="15">
      <c r="A1160" s="113" t="s">
        <v>5524</v>
      </c>
      <c r="B1160" s="112" t="s">
        <v>11322</v>
      </c>
    </row>
    <row r="1161" spans="1:2" ht="15">
      <c r="A1161" s="113" t="s">
        <v>5525</v>
      </c>
      <c r="B1161" s="112" t="s">
        <v>11322</v>
      </c>
    </row>
    <row r="1162" spans="1:2" ht="15">
      <c r="A1162" s="113" t="s">
        <v>5526</v>
      </c>
      <c r="B1162" s="112" t="s">
        <v>11322</v>
      </c>
    </row>
    <row r="1163" spans="1:2" ht="15">
      <c r="A1163" s="113" t="s">
        <v>5527</v>
      </c>
      <c r="B1163" s="112" t="s">
        <v>11322</v>
      </c>
    </row>
    <row r="1164" spans="1:2" ht="15">
      <c r="A1164" s="113" t="s">
        <v>5528</v>
      </c>
      <c r="B1164" s="112" t="s">
        <v>11322</v>
      </c>
    </row>
    <row r="1165" spans="1:2" ht="15">
      <c r="A1165" s="113" t="s">
        <v>5529</v>
      </c>
      <c r="B1165" s="112" t="s">
        <v>11322</v>
      </c>
    </row>
    <row r="1166" spans="1:2" ht="15">
      <c r="A1166" s="113" t="s">
        <v>5530</v>
      </c>
      <c r="B1166" s="112" t="s">
        <v>11322</v>
      </c>
    </row>
    <row r="1167" spans="1:2" ht="15">
      <c r="A1167" s="113" t="s">
        <v>5531</v>
      </c>
      <c r="B1167" s="112" t="s">
        <v>11322</v>
      </c>
    </row>
    <row r="1168" spans="1:2" ht="15">
      <c r="A1168" s="113" t="s">
        <v>5532</v>
      </c>
      <c r="B1168" s="112" t="s">
        <v>11322</v>
      </c>
    </row>
    <row r="1169" spans="1:2" ht="15">
      <c r="A1169" s="113" t="s">
        <v>5533</v>
      </c>
      <c r="B1169" s="112" t="s">
        <v>11322</v>
      </c>
    </row>
    <row r="1170" spans="1:2" ht="15">
      <c r="A1170" s="113" t="s">
        <v>5534</v>
      </c>
      <c r="B1170" s="112" t="s">
        <v>11322</v>
      </c>
    </row>
    <row r="1171" spans="1:2" ht="15">
      <c r="A1171" s="113" t="s">
        <v>5535</v>
      </c>
      <c r="B1171" s="112" t="s">
        <v>11322</v>
      </c>
    </row>
    <row r="1172" spans="1:2" ht="15">
      <c r="A1172" s="113" t="s">
        <v>5536</v>
      </c>
      <c r="B1172" s="112" t="s">
        <v>11322</v>
      </c>
    </row>
    <row r="1173" spans="1:2" ht="15">
      <c r="A1173" s="113" t="s">
        <v>5537</v>
      </c>
      <c r="B1173" s="112" t="s">
        <v>11322</v>
      </c>
    </row>
    <row r="1174" spans="1:2" ht="15">
      <c r="A1174" s="113" t="s">
        <v>5538</v>
      </c>
      <c r="B1174" s="112" t="s">
        <v>11322</v>
      </c>
    </row>
    <row r="1175" spans="1:2" ht="15">
      <c r="A1175" s="113" t="s">
        <v>5539</v>
      </c>
      <c r="B1175" s="112" t="s">
        <v>11322</v>
      </c>
    </row>
    <row r="1176" spans="1:2" ht="15">
      <c r="A1176" s="113" t="s">
        <v>5540</v>
      </c>
      <c r="B1176" s="112" t="s">
        <v>11322</v>
      </c>
    </row>
    <row r="1177" spans="1:2" ht="15">
      <c r="A1177" s="113" t="s">
        <v>5541</v>
      </c>
      <c r="B1177" s="112" t="s">
        <v>11322</v>
      </c>
    </row>
    <row r="1178" spans="1:2" ht="15">
      <c r="A1178" s="113" t="s">
        <v>5542</v>
      </c>
      <c r="B1178" s="112" t="s">
        <v>11322</v>
      </c>
    </row>
    <row r="1179" spans="1:2" ht="15">
      <c r="A1179" s="113" t="s">
        <v>5543</v>
      </c>
      <c r="B1179" s="112" t="s">
        <v>11322</v>
      </c>
    </row>
    <row r="1180" spans="1:2" ht="15">
      <c r="A1180" s="113" t="s">
        <v>5544</v>
      </c>
      <c r="B1180" s="112" t="s">
        <v>11322</v>
      </c>
    </row>
    <row r="1181" spans="1:2" ht="15">
      <c r="A1181" s="113" t="s">
        <v>5545</v>
      </c>
      <c r="B1181" s="112" t="s">
        <v>11322</v>
      </c>
    </row>
    <row r="1182" spans="1:2" ht="15">
      <c r="A1182" s="113" t="s">
        <v>5546</v>
      </c>
      <c r="B1182" s="112" t="s">
        <v>11322</v>
      </c>
    </row>
    <row r="1183" spans="1:2" ht="15">
      <c r="A1183" s="113" t="s">
        <v>5547</v>
      </c>
      <c r="B1183" s="112" t="s">
        <v>11322</v>
      </c>
    </row>
    <row r="1184" spans="1:2" ht="15">
      <c r="A1184" s="113" t="s">
        <v>5548</v>
      </c>
      <c r="B1184" s="112" t="s">
        <v>11322</v>
      </c>
    </row>
    <row r="1185" spans="1:2" ht="15">
      <c r="A1185" s="113" t="s">
        <v>5549</v>
      </c>
      <c r="B1185" s="112" t="s">
        <v>11322</v>
      </c>
    </row>
    <row r="1186" spans="1:2" ht="15">
      <c r="A1186" s="113" t="s">
        <v>5550</v>
      </c>
      <c r="B1186" s="112" t="s">
        <v>11322</v>
      </c>
    </row>
    <row r="1187" spans="1:2" ht="15">
      <c r="A1187" s="113" t="s">
        <v>5551</v>
      </c>
      <c r="B1187" s="112" t="s">
        <v>11322</v>
      </c>
    </row>
    <row r="1188" spans="1:2" ht="15">
      <c r="A1188" s="113" t="s">
        <v>5552</v>
      </c>
      <c r="B1188" s="112" t="s">
        <v>11322</v>
      </c>
    </row>
    <row r="1189" spans="1:2" ht="15">
      <c r="A1189" s="113" t="s">
        <v>5553</v>
      </c>
      <c r="B1189" s="112" t="s">
        <v>11322</v>
      </c>
    </row>
    <row r="1190" spans="1:2" ht="15">
      <c r="A1190" s="113" t="s">
        <v>5554</v>
      </c>
      <c r="B1190" s="112" t="s">
        <v>11322</v>
      </c>
    </row>
    <row r="1191" spans="1:2" ht="15">
      <c r="A1191" s="113" t="s">
        <v>5555</v>
      </c>
      <c r="B1191" s="112" t="s">
        <v>11322</v>
      </c>
    </row>
    <row r="1192" spans="1:2" ht="15">
      <c r="A1192" s="113" t="s">
        <v>5556</v>
      </c>
      <c r="B1192" s="112" t="s">
        <v>11322</v>
      </c>
    </row>
    <row r="1193" spans="1:2" ht="15">
      <c r="A1193" s="113" t="s">
        <v>5557</v>
      </c>
      <c r="B1193" s="112" t="s">
        <v>11322</v>
      </c>
    </row>
    <row r="1194" spans="1:2" ht="15">
      <c r="A1194" s="113" t="s">
        <v>5558</v>
      </c>
      <c r="B1194" s="112" t="s">
        <v>11322</v>
      </c>
    </row>
    <row r="1195" spans="1:2" ht="15">
      <c r="A1195" s="113" t="s">
        <v>5559</v>
      </c>
      <c r="B1195" s="112" t="s">
        <v>11322</v>
      </c>
    </row>
    <row r="1196" spans="1:2" ht="15">
      <c r="A1196" s="113" t="s">
        <v>5560</v>
      </c>
      <c r="B1196" s="112" t="s">
        <v>11322</v>
      </c>
    </row>
    <row r="1197" spans="1:2" ht="15">
      <c r="A1197" s="113" t="s">
        <v>5561</v>
      </c>
      <c r="B1197" s="112" t="s">
        <v>11322</v>
      </c>
    </row>
    <row r="1198" spans="1:2" ht="15">
      <c r="A1198" s="113" t="s">
        <v>5562</v>
      </c>
      <c r="B1198" s="112" t="s">
        <v>11322</v>
      </c>
    </row>
    <row r="1199" spans="1:2" ht="15">
      <c r="A1199" s="113" t="s">
        <v>5563</v>
      </c>
      <c r="B1199" s="112" t="s">
        <v>11322</v>
      </c>
    </row>
    <row r="1200" spans="1:2" ht="15">
      <c r="A1200" s="113" t="s">
        <v>5564</v>
      </c>
      <c r="B1200" s="112" t="s">
        <v>11322</v>
      </c>
    </row>
    <row r="1201" spans="1:2" ht="15">
      <c r="A1201" s="113" t="s">
        <v>5565</v>
      </c>
      <c r="B1201" s="112" t="s">
        <v>11322</v>
      </c>
    </row>
    <row r="1202" spans="1:2" ht="15">
      <c r="A1202" s="113" t="s">
        <v>5566</v>
      </c>
      <c r="B1202" s="112" t="s">
        <v>11322</v>
      </c>
    </row>
    <row r="1203" spans="1:2" ht="15">
      <c r="A1203" s="113" t="s">
        <v>5567</v>
      </c>
      <c r="B1203" s="112" t="s">
        <v>11322</v>
      </c>
    </row>
    <row r="1204" spans="1:2" ht="15">
      <c r="A1204" s="113" t="s">
        <v>5568</v>
      </c>
      <c r="B1204" s="112" t="s">
        <v>11322</v>
      </c>
    </row>
    <row r="1205" spans="1:2" ht="15">
      <c r="A1205" s="113" t="s">
        <v>5569</v>
      </c>
      <c r="B1205" s="112" t="s">
        <v>11322</v>
      </c>
    </row>
    <row r="1206" spans="1:2" ht="15">
      <c r="A1206" s="113" t="s">
        <v>5570</v>
      </c>
      <c r="B1206" s="112" t="s">
        <v>11322</v>
      </c>
    </row>
    <row r="1207" spans="1:2" ht="15">
      <c r="A1207" s="113" t="s">
        <v>5571</v>
      </c>
      <c r="B1207" s="112" t="s">
        <v>11322</v>
      </c>
    </row>
    <row r="1208" spans="1:2" ht="15">
      <c r="A1208" s="113" t="s">
        <v>5572</v>
      </c>
      <c r="B1208" s="112" t="s">
        <v>11322</v>
      </c>
    </row>
    <row r="1209" spans="1:2" ht="15">
      <c r="A1209" s="113" t="s">
        <v>5573</v>
      </c>
      <c r="B1209" s="112" t="s">
        <v>11322</v>
      </c>
    </row>
    <row r="1210" spans="1:2" ht="15">
      <c r="A1210" s="113" t="s">
        <v>5574</v>
      </c>
      <c r="B1210" s="112" t="s">
        <v>11322</v>
      </c>
    </row>
    <row r="1211" spans="1:2" ht="15">
      <c r="A1211" s="113" t="s">
        <v>5575</v>
      </c>
      <c r="B1211" s="112" t="s">
        <v>11322</v>
      </c>
    </row>
    <row r="1212" spans="1:2" ht="15">
      <c r="A1212" s="113" t="s">
        <v>5576</v>
      </c>
      <c r="B1212" s="112" t="s">
        <v>11322</v>
      </c>
    </row>
    <row r="1213" spans="1:2" ht="15">
      <c r="A1213" s="113" t="s">
        <v>5577</v>
      </c>
      <c r="B1213" s="112" t="s">
        <v>11322</v>
      </c>
    </row>
    <row r="1214" spans="1:2" ht="15">
      <c r="A1214" s="113" t="s">
        <v>5578</v>
      </c>
      <c r="B1214" s="112" t="s">
        <v>11322</v>
      </c>
    </row>
    <row r="1215" spans="1:2" ht="15">
      <c r="A1215" s="113" t="s">
        <v>5579</v>
      </c>
      <c r="B1215" s="112" t="s">
        <v>11322</v>
      </c>
    </row>
    <row r="1216" spans="1:2" ht="15">
      <c r="A1216" s="113" t="s">
        <v>5580</v>
      </c>
      <c r="B1216" s="112" t="s">
        <v>11322</v>
      </c>
    </row>
    <row r="1217" spans="1:2" ht="15">
      <c r="A1217" s="113" t="s">
        <v>5581</v>
      </c>
      <c r="B1217" s="112" t="s">
        <v>11322</v>
      </c>
    </row>
    <row r="1218" spans="1:2" ht="15">
      <c r="A1218" s="113" t="s">
        <v>5582</v>
      </c>
      <c r="B1218" s="112" t="s">
        <v>11322</v>
      </c>
    </row>
    <row r="1219" spans="1:2" ht="15">
      <c r="A1219" s="113" t="s">
        <v>5583</v>
      </c>
      <c r="B1219" s="112" t="s">
        <v>11322</v>
      </c>
    </row>
    <row r="1220" spans="1:2" ht="15">
      <c r="A1220" s="113" t="s">
        <v>5584</v>
      </c>
      <c r="B1220" s="112" t="s">
        <v>11322</v>
      </c>
    </row>
    <row r="1221" spans="1:2" ht="15">
      <c r="A1221" s="113" t="s">
        <v>5585</v>
      </c>
      <c r="B1221" s="112" t="s">
        <v>11322</v>
      </c>
    </row>
    <row r="1222" spans="1:2" ht="15">
      <c r="A1222" s="113" t="s">
        <v>5586</v>
      </c>
      <c r="B1222" s="112" t="s">
        <v>11322</v>
      </c>
    </row>
    <row r="1223" spans="1:2" ht="15">
      <c r="A1223" s="113" t="s">
        <v>5587</v>
      </c>
      <c r="B1223" s="112" t="s">
        <v>11322</v>
      </c>
    </row>
    <row r="1224" spans="1:2" ht="15">
      <c r="A1224" s="113" t="s">
        <v>5588</v>
      </c>
      <c r="B1224" s="112" t="s">
        <v>11322</v>
      </c>
    </row>
    <row r="1225" spans="1:2" ht="15">
      <c r="A1225" s="113" t="s">
        <v>5589</v>
      </c>
      <c r="B1225" s="112" t="s">
        <v>11322</v>
      </c>
    </row>
    <row r="1226" spans="1:2" ht="15">
      <c r="A1226" s="113" t="s">
        <v>5590</v>
      </c>
      <c r="B1226" s="112" t="s">
        <v>11322</v>
      </c>
    </row>
    <row r="1227" spans="1:2" ht="15">
      <c r="A1227" s="113" t="s">
        <v>5591</v>
      </c>
      <c r="B1227" s="112" t="s">
        <v>11322</v>
      </c>
    </row>
    <row r="1228" spans="1:2" ht="15">
      <c r="A1228" s="113" t="s">
        <v>5592</v>
      </c>
      <c r="B1228" s="112" t="s">
        <v>11322</v>
      </c>
    </row>
    <row r="1229" spans="1:2" ht="15">
      <c r="A1229" s="113" t="s">
        <v>5593</v>
      </c>
      <c r="B1229" s="112" t="s">
        <v>11322</v>
      </c>
    </row>
    <row r="1230" spans="1:2" ht="15">
      <c r="A1230" s="113" t="s">
        <v>5594</v>
      </c>
      <c r="B1230" s="112" t="s">
        <v>11322</v>
      </c>
    </row>
    <row r="1231" spans="1:2" ht="15">
      <c r="A1231" s="113" t="s">
        <v>5595</v>
      </c>
      <c r="B1231" s="112" t="s">
        <v>11322</v>
      </c>
    </row>
    <row r="1232" spans="1:2" ht="15">
      <c r="A1232" s="113" t="s">
        <v>5596</v>
      </c>
      <c r="B1232" s="112" t="s">
        <v>11322</v>
      </c>
    </row>
    <row r="1233" spans="1:2" ht="15">
      <c r="A1233" s="113" t="s">
        <v>5597</v>
      </c>
      <c r="B1233" s="112" t="s">
        <v>11322</v>
      </c>
    </row>
    <row r="1234" spans="1:2" ht="15">
      <c r="A1234" s="113" t="s">
        <v>5598</v>
      </c>
      <c r="B1234" s="112" t="s">
        <v>11322</v>
      </c>
    </row>
    <row r="1235" spans="1:2" ht="15">
      <c r="A1235" s="113" t="s">
        <v>5599</v>
      </c>
      <c r="B1235" s="112" t="s">
        <v>11322</v>
      </c>
    </row>
    <row r="1236" spans="1:2" ht="15">
      <c r="A1236" s="113" t="s">
        <v>5600</v>
      </c>
      <c r="B1236" s="112" t="s">
        <v>11322</v>
      </c>
    </row>
    <row r="1237" spans="1:2" ht="15">
      <c r="A1237" s="113" t="s">
        <v>5601</v>
      </c>
      <c r="B1237" s="112" t="s">
        <v>11322</v>
      </c>
    </row>
    <row r="1238" spans="1:2" ht="15">
      <c r="A1238" s="113" t="s">
        <v>5602</v>
      </c>
      <c r="B1238" s="112" t="s">
        <v>11322</v>
      </c>
    </row>
    <row r="1239" spans="1:2" ht="15">
      <c r="A1239" s="113" t="s">
        <v>5603</v>
      </c>
      <c r="B1239" s="112" t="s">
        <v>11322</v>
      </c>
    </row>
    <row r="1240" spans="1:2" ht="15">
      <c r="A1240" s="113" t="s">
        <v>5604</v>
      </c>
      <c r="B1240" s="112" t="s">
        <v>11322</v>
      </c>
    </row>
    <row r="1241" spans="1:2" ht="15">
      <c r="A1241" s="113" t="s">
        <v>5605</v>
      </c>
      <c r="B1241" s="112" t="s">
        <v>11322</v>
      </c>
    </row>
    <row r="1242" spans="1:2" ht="15">
      <c r="A1242" s="113" t="s">
        <v>5606</v>
      </c>
      <c r="B1242" s="112" t="s">
        <v>11322</v>
      </c>
    </row>
    <row r="1243" spans="1:2" ht="15">
      <c r="A1243" s="113" t="s">
        <v>5607</v>
      </c>
      <c r="B1243" s="112" t="s">
        <v>11322</v>
      </c>
    </row>
    <row r="1244" spans="1:2" ht="15">
      <c r="A1244" s="113" t="s">
        <v>5608</v>
      </c>
      <c r="B1244" s="112" t="s">
        <v>11322</v>
      </c>
    </row>
    <row r="1245" spans="1:2" ht="15">
      <c r="A1245" s="113" t="s">
        <v>5609</v>
      </c>
      <c r="B1245" s="112" t="s">
        <v>11322</v>
      </c>
    </row>
    <row r="1246" spans="1:2" ht="15">
      <c r="A1246" s="113" t="s">
        <v>5610</v>
      </c>
      <c r="B1246" s="112" t="s">
        <v>11322</v>
      </c>
    </row>
    <row r="1247" spans="1:2" ht="15">
      <c r="A1247" s="113" t="s">
        <v>5611</v>
      </c>
      <c r="B1247" s="112" t="s">
        <v>11322</v>
      </c>
    </row>
    <row r="1248" spans="1:2" ht="15">
      <c r="A1248" s="113" t="s">
        <v>5612</v>
      </c>
      <c r="B1248" s="112" t="s">
        <v>11322</v>
      </c>
    </row>
    <row r="1249" spans="1:2" ht="15">
      <c r="A1249" s="113" t="s">
        <v>5613</v>
      </c>
      <c r="B1249" s="112" t="s">
        <v>11322</v>
      </c>
    </row>
    <row r="1250" spans="1:2" ht="15">
      <c r="A1250" s="113" t="s">
        <v>5614</v>
      </c>
      <c r="B1250" s="112" t="s">
        <v>11322</v>
      </c>
    </row>
    <row r="1251" spans="1:2" ht="15">
      <c r="A1251" s="113" t="s">
        <v>5615</v>
      </c>
      <c r="B1251" s="112" t="s">
        <v>11322</v>
      </c>
    </row>
    <row r="1252" spans="1:2" ht="15">
      <c r="A1252" s="113" t="s">
        <v>5616</v>
      </c>
      <c r="B1252" s="112" t="s">
        <v>11322</v>
      </c>
    </row>
    <row r="1253" spans="1:2" ht="15">
      <c r="A1253" s="113" t="s">
        <v>5617</v>
      </c>
      <c r="B1253" s="112" t="s">
        <v>11322</v>
      </c>
    </row>
    <row r="1254" spans="1:2" ht="15">
      <c r="A1254" s="113" t="s">
        <v>5618</v>
      </c>
      <c r="B1254" s="112" t="s">
        <v>11322</v>
      </c>
    </row>
    <row r="1255" spans="1:2" ht="15">
      <c r="A1255" s="113" t="s">
        <v>5619</v>
      </c>
      <c r="B1255" s="112" t="s">
        <v>11322</v>
      </c>
    </row>
    <row r="1256" spans="1:2" ht="15">
      <c r="A1256" s="113" t="s">
        <v>5620</v>
      </c>
      <c r="B1256" s="112" t="s">
        <v>11322</v>
      </c>
    </row>
    <row r="1257" spans="1:2" ht="15">
      <c r="A1257" s="113" t="s">
        <v>5621</v>
      </c>
      <c r="B1257" s="112" t="s">
        <v>11322</v>
      </c>
    </row>
    <row r="1258" spans="1:2" ht="15">
      <c r="A1258" s="113" t="s">
        <v>5622</v>
      </c>
      <c r="B1258" s="112" t="s">
        <v>11322</v>
      </c>
    </row>
    <row r="1259" spans="1:2" ht="15">
      <c r="A1259" s="113" t="s">
        <v>5623</v>
      </c>
      <c r="B1259" s="112" t="s">
        <v>11322</v>
      </c>
    </row>
    <row r="1260" spans="1:2" ht="15">
      <c r="A1260" s="113" t="s">
        <v>5624</v>
      </c>
      <c r="B1260" s="112" t="s">
        <v>11322</v>
      </c>
    </row>
    <row r="1261" spans="1:2" ht="15">
      <c r="A1261" s="113" t="s">
        <v>5625</v>
      </c>
      <c r="B1261" s="112" t="s">
        <v>11322</v>
      </c>
    </row>
    <row r="1262" spans="1:2" ht="15">
      <c r="A1262" s="113" t="s">
        <v>5626</v>
      </c>
      <c r="B1262" s="112" t="s">
        <v>11322</v>
      </c>
    </row>
    <row r="1263" spans="1:2" ht="15">
      <c r="A1263" s="113" t="s">
        <v>5627</v>
      </c>
      <c r="B1263" s="112" t="s">
        <v>11322</v>
      </c>
    </row>
    <row r="1264" spans="1:2" ht="15">
      <c r="A1264" s="113" t="s">
        <v>5628</v>
      </c>
      <c r="B1264" s="112" t="s">
        <v>11322</v>
      </c>
    </row>
    <row r="1265" spans="1:2" ht="15">
      <c r="A1265" s="113" t="s">
        <v>5629</v>
      </c>
      <c r="B1265" s="112" t="s">
        <v>11322</v>
      </c>
    </row>
    <row r="1266" spans="1:2" ht="15">
      <c r="A1266" s="113" t="s">
        <v>5630</v>
      </c>
      <c r="B1266" s="112" t="s">
        <v>11322</v>
      </c>
    </row>
    <row r="1267" spans="1:2" ht="15">
      <c r="A1267" s="113" t="s">
        <v>5631</v>
      </c>
      <c r="B1267" s="112" t="s">
        <v>11322</v>
      </c>
    </row>
    <row r="1268" spans="1:2" ht="15">
      <c r="A1268" s="113" t="s">
        <v>5632</v>
      </c>
      <c r="B1268" s="112" t="s">
        <v>11322</v>
      </c>
    </row>
    <row r="1269" spans="1:2" ht="15">
      <c r="A1269" s="113" t="s">
        <v>5633</v>
      </c>
      <c r="B1269" s="112" t="s">
        <v>11322</v>
      </c>
    </row>
    <row r="1270" spans="1:2" ht="15">
      <c r="A1270" s="113" t="s">
        <v>5634</v>
      </c>
      <c r="B1270" s="112" t="s">
        <v>11322</v>
      </c>
    </row>
    <row r="1271" spans="1:2" ht="15">
      <c r="A1271" s="113" t="s">
        <v>5635</v>
      </c>
      <c r="B1271" s="112" t="s">
        <v>11322</v>
      </c>
    </row>
    <row r="1272" spans="1:2" ht="15">
      <c r="A1272" s="113" t="s">
        <v>5636</v>
      </c>
      <c r="B1272" s="112" t="s">
        <v>11322</v>
      </c>
    </row>
    <row r="1273" spans="1:2" ht="15">
      <c r="A1273" s="113" t="s">
        <v>5637</v>
      </c>
      <c r="B1273" s="112" t="s">
        <v>11322</v>
      </c>
    </row>
    <row r="1274" spans="1:2" ht="15">
      <c r="A1274" s="113" t="s">
        <v>5638</v>
      </c>
      <c r="B1274" s="112" t="s">
        <v>11322</v>
      </c>
    </row>
    <row r="1275" spans="1:2" ht="15">
      <c r="A1275" s="113" t="s">
        <v>5639</v>
      </c>
      <c r="B1275" s="112" t="s">
        <v>11322</v>
      </c>
    </row>
    <row r="1276" spans="1:2" ht="15">
      <c r="A1276" s="113" t="s">
        <v>5640</v>
      </c>
      <c r="B1276" s="112" t="s">
        <v>11322</v>
      </c>
    </row>
    <row r="1277" spans="1:2" ht="15">
      <c r="A1277" s="113" t="s">
        <v>5641</v>
      </c>
      <c r="B1277" s="112" t="s">
        <v>11322</v>
      </c>
    </row>
    <row r="1278" spans="1:2" ht="15">
      <c r="A1278" s="113" t="s">
        <v>5642</v>
      </c>
      <c r="B1278" s="112" t="s">
        <v>11322</v>
      </c>
    </row>
    <row r="1279" spans="1:2" ht="15">
      <c r="A1279" s="113" t="s">
        <v>5643</v>
      </c>
      <c r="B1279" s="112" t="s">
        <v>11322</v>
      </c>
    </row>
    <row r="1280" spans="1:2" ht="15">
      <c r="A1280" s="113" t="s">
        <v>5644</v>
      </c>
      <c r="B1280" s="112" t="s">
        <v>11322</v>
      </c>
    </row>
    <row r="1281" spans="1:2" ht="15">
      <c r="A1281" s="113" t="s">
        <v>5645</v>
      </c>
      <c r="B1281" s="112" t="s">
        <v>11322</v>
      </c>
    </row>
    <row r="1282" spans="1:2" ht="15">
      <c r="A1282" s="113" t="s">
        <v>5646</v>
      </c>
      <c r="B1282" s="112" t="s">
        <v>11322</v>
      </c>
    </row>
    <row r="1283" spans="1:2" ht="15">
      <c r="A1283" s="113" t="s">
        <v>5647</v>
      </c>
      <c r="B1283" s="112" t="s">
        <v>11322</v>
      </c>
    </row>
    <row r="1284" spans="1:2" ht="15">
      <c r="A1284" s="113" t="s">
        <v>5648</v>
      </c>
      <c r="B1284" s="112" t="s">
        <v>11322</v>
      </c>
    </row>
    <row r="1285" spans="1:2" ht="15">
      <c r="A1285" s="113" t="s">
        <v>5649</v>
      </c>
      <c r="B1285" s="112" t="s">
        <v>11322</v>
      </c>
    </row>
    <row r="1286" spans="1:2" ht="15">
      <c r="A1286" s="113" t="s">
        <v>5650</v>
      </c>
      <c r="B1286" s="112" t="s">
        <v>11322</v>
      </c>
    </row>
    <row r="1287" spans="1:2" ht="15">
      <c r="A1287" s="113" t="s">
        <v>5651</v>
      </c>
      <c r="B1287" s="112" t="s">
        <v>11322</v>
      </c>
    </row>
    <row r="1288" spans="1:2" ht="15">
      <c r="A1288" s="113" t="s">
        <v>5652</v>
      </c>
      <c r="B1288" s="112" t="s">
        <v>11322</v>
      </c>
    </row>
    <row r="1289" spans="1:2" ht="15">
      <c r="A1289" s="113" t="s">
        <v>5653</v>
      </c>
      <c r="B1289" s="112" t="s">
        <v>11322</v>
      </c>
    </row>
    <row r="1290" spans="1:2" ht="15">
      <c r="A1290" s="113" t="s">
        <v>5654</v>
      </c>
      <c r="B1290" s="112" t="s">
        <v>11322</v>
      </c>
    </row>
    <row r="1291" spans="1:2" ht="15">
      <c r="A1291" s="113" t="s">
        <v>5655</v>
      </c>
      <c r="B1291" s="112" t="s">
        <v>11322</v>
      </c>
    </row>
    <row r="1292" spans="1:2" ht="15">
      <c r="A1292" s="113" t="s">
        <v>5656</v>
      </c>
      <c r="B1292" s="112" t="s">
        <v>11322</v>
      </c>
    </row>
    <row r="1293" spans="1:2" ht="15">
      <c r="A1293" s="113" t="s">
        <v>5657</v>
      </c>
      <c r="B1293" s="112" t="s">
        <v>11322</v>
      </c>
    </row>
    <row r="1294" spans="1:2" ht="15">
      <c r="A1294" s="113" t="s">
        <v>5658</v>
      </c>
      <c r="B1294" s="112" t="s">
        <v>11322</v>
      </c>
    </row>
    <row r="1295" spans="1:2" ht="15">
      <c r="A1295" s="113" t="s">
        <v>5659</v>
      </c>
      <c r="B1295" s="112" t="s">
        <v>11322</v>
      </c>
    </row>
    <row r="1296" spans="1:2" ht="15">
      <c r="A1296" s="113" t="s">
        <v>5660</v>
      </c>
      <c r="B1296" s="112" t="s">
        <v>11322</v>
      </c>
    </row>
    <row r="1297" spans="1:2" ht="15">
      <c r="A1297" s="113" t="s">
        <v>5661</v>
      </c>
      <c r="B1297" s="112" t="s">
        <v>11322</v>
      </c>
    </row>
    <row r="1298" spans="1:2" ht="15">
      <c r="A1298" s="113" t="s">
        <v>5662</v>
      </c>
      <c r="B1298" s="112" t="s">
        <v>11322</v>
      </c>
    </row>
    <row r="1299" spans="1:2" ht="15">
      <c r="A1299" s="113" t="s">
        <v>5663</v>
      </c>
      <c r="B1299" s="112" t="s">
        <v>11322</v>
      </c>
    </row>
    <row r="1300" spans="1:2" ht="15">
      <c r="A1300" s="113" t="s">
        <v>5664</v>
      </c>
      <c r="B1300" s="112" t="s">
        <v>11322</v>
      </c>
    </row>
    <row r="1301" spans="1:2" ht="15">
      <c r="A1301" s="113" t="s">
        <v>5665</v>
      </c>
      <c r="B1301" s="112" t="s">
        <v>11322</v>
      </c>
    </row>
    <row r="1302" spans="1:2" ht="15">
      <c r="A1302" s="113" t="s">
        <v>5666</v>
      </c>
      <c r="B1302" s="112" t="s">
        <v>11322</v>
      </c>
    </row>
    <row r="1303" spans="1:2" ht="15">
      <c r="A1303" s="113" t="s">
        <v>5667</v>
      </c>
      <c r="B1303" s="112" t="s">
        <v>11322</v>
      </c>
    </row>
    <row r="1304" spans="1:2" ht="15">
      <c r="A1304" s="113" t="s">
        <v>5668</v>
      </c>
      <c r="B1304" s="112" t="s">
        <v>11322</v>
      </c>
    </row>
    <row r="1305" spans="1:2" ht="15">
      <c r="A1305" s="113" t="s">
        <v>5669</v>
      </c>
      <c r="B1305" s="112" t="s">
        <v>11322</v>
      </c>
    </row>
    <row r="1306" spans="1:2" ht="15">
      <c r="A1306" s="113" t="s">
        <v>5670</v>
      </c>
      <c r="B1306" s="112" t="s">
        <v>11322</v>
      </c>
    </row>
    <row r="1307" spans="1:2" ht="15">
      <c r="A1307" s="113" t="s">
        <v>5671</v>
      </c>
      <c r="B1307" s="112" t="s">
        <v>11322</v>
      </c>
    </row>
    <row r="1308" spans="1:2" ht="15">
      <c r="A1308" s="113" t="s">
        <v>5672</v>
      </c>
      <c r="B1308" s="112" t="s">
        <v>11322</v>
      </c>
    </row>
    <row r="1309" spans="1:2" ht="15">
      <c r="A1309" s="113" t="s">
        <v>5673</v>
      </c>
      <c r="B1309" s="112" t="s">
        <v>11322</v>
      </c>
    </row>
    <row r="1310" spans="1:2" ht="15">
      <c r="A1310" s="113" t="s">
        <v>5674</v>
      </c>
      <c r="B1310" s="112" t="s">
        <v>11322</v>
      </c>
    </row>
    <row r="1311" spans="1:2" ht="15">
      <c r="A1311" s="113" t="s">
        <v>5675</v>
      </c>
      <c r="B1311" s="112" t="s">
        <v>11322</v>
      </c>
    </row>
    <row r="1312" spans="1:2" ht="15">
      <c r="A1312" s="113" t="s">
        <v>5676</v>
      </c>
      <c r="B1312" s="112" t="s">
        <v>11322</v>
      </c>
    </row>
    <row r="1313" spans="1:2" ht="15">
      <c r="A1313" s="113" t="s">
        <v>5677</v>
      </c>
      <c r="B1313" s="112" t="s">
        <v>11322</v>
      </c>
    </row>
    <row r="1314" spans="1:2" ht="15">
      <c r="A1314" s="113" t="s">
        <v>5678</v>
      </c>
      <c r="B1314" s="112" t="s">
        <v>11322</v>
      </c>
    </row>
    <row r="1315" spans="1:2" ht="15">
      <c r="A1315" s="113" t="s">
        <v>5679</v>
      </c>
      <c r="B1315" s="112" t="s">
        <v>11322</v>
      </c>
    </row>
    <row r="1316" spans="1:2" ht="15">
      <c r="A1316" s="113" t="s">
        <v>5680</v>
      </c>
      <c r="B1316" s="112" t="s">
        <v>11322</v>
      </c>
    </row>
    <row r="1317" spans="1:2" ht="15">
      <c r="A1317" s="113" t="s">
        <v>5681</v>
      </c>
      <c r="B1317" s="112" t="s">
        <v>11322</v>
      </c>
    </row>
    <row r="1318" spans="1:2" ht="15">
      <c r="A1318" s="113" t="s">
        <v>5682</v>
      </c>
      <c r="B1318" s="112" t="s">
        <v>11322</v>
      </c>
    </row>
    <row r="1319" spans="1:2" ht="15">
      <c r="A1319" s="113" t="s">
        <v>5683</v>
      </c>
      <c r="B1319" s="112" t="s">
        <v>11322</v>
      </c>
    </row>
    <row r="1320" spans="1:2" ht="15">
      <c r="A1320" s="113" t="s">
        <v>5684</v>
      </c>
      <c r="B1320" s="112" t="s">
        <v>11322</v>
      </c>
    </row>
    <row r="1321" spans="1:2" ht="15">
      <c r="A1321" s="113" t="s">
        <v>5685</v>
      </c>
      <c r="B1321" s="112" t="s">
        <v>11322</v>
      </c>
    </row>
    <row r="1322" spans="1:2" ht="15">
      <c r="A1322" s="113" t="s">
        <v>5686</v>
      </c>
      <c r="B1322" s="112" t="s">
        <v>11322</v>
      </c>
    </row>
    <row r="1323" spans="1:2" ht="15">
      <c r="A1323" s="113" t="s">
        <v>5687</v>
      </c>
      <c r="B1323" s="112" t="s">
        <v>11322</v>
      </c>
    </row>
    <row r="1324" spans="1:2" ht="15">
      <c r="A1324" s="113" t="s">
        <v>5688</v>
      </c>
      <c r="B1324" s="112" t="s">
        <v>11322</v>
      </c>
    </row>
    <row r="1325" spans="1:2" ht="15">
      <c r="A1325" s="113" t="s">
        <v>5689</v>
      </c>
      <c r="B1325" s="112" t="s">
        <v>11322</v>
      </c>
    </row>
    <row r="1326" spans="1:2" ht="15">
      <c r="A1326" s="113" t="s">
        <v>5690</v>
      </c>
      <c r="B1326" s="112" t="s">
        <v>11322</v>
      </c>
    </row>
    <row r="1327" spans="1:2" ht="15">
      <c r="A1327" s="113" t="s">
        <v>5691</v>
      </c>
      <c r="B1327" s="112" t="s">
        <v>11322</v>
      </c>
    </row>
    <row r="1328" spans="1:2" ht="15">
      <c r="A1328" s="113" t="s">
        <v>5692</v>
      </c>
      <c r="B1328" s="112" t="s">
        <v>11322</v>
      </c>
    </row>
    <row r="1329" spans="1:2" ht="15">
      <c r="A1329" s="113" t="s">
        <v>5693</v>
      </c>
      <c r="B1329" s="112" t="s">
        <v>11322</v>
      </c>
    </row>
    <row r="1330" spans="1:2" ht="15">
      <c r="A1330" s="113" t="s">
        <v>5694</v>
      </c>
      <c r="B1330" s="112" t="s">
        <v>11322</v>
      </c>
    </row>
    <row r="1331" spans="1:2" ht="15">
      <c r="A1331" s="113" t="s">
        <v>5695</v>
      </c>
      <c r="B1331" s="112" t="s">
        <v>11322</v>
      </c>
    </row>
    <row r="1332" spans="1:2" ht="15">
      <c r="A1332" s="113" t="s">
        <v>5696</v>
      </c>
      <c r="B1332" s="112" t="s">
        <v>11322</v>
      </c>
    </row>
    <row r="1333" spans="1:2" ht="15">
      <c r="A1333" s="113" t="s">
        <v>5697</v>
      </c>
      <c r="B1333" s="112" t="s">
        <v>11322</v>
      </c>
    </row>
    <row r="1334" spans="1:2" ht="15">
      <c r="A1334" s="113" t="s">
        <v>5698</v>
      </c>
      <c r="B1334" s="112" t="s">
        <v>11322</v>
      </c>
    </row>
    <row r="1335" spans="1:2" ht="15">
      <c r="A1335" s="113" t="s">
        <v>5699</v>
      </c>
      <c r="B1335" s="112" t="s">
        <v>11322</v>
      </c>
    </row>
    <row r="1336" spans="1:2" ht="15">
      <c r="A1336" s="113" t="s">
        <v>5700</v>
      </c>
      <c r="B1336" s="112" t="s">
        <v>11322</v>
      </c>
    </row>
    <row r="1337" spans="1:2" ht="15">
      <c r="A1337" s="113" t="s">
        <v>5701</v>
      </c>
      <c r="B1337" s="112" t="s">
        <v>11322</v>
      </c>
    </row>
    <row r="1338" spans="1:2" ht="15">
      <c r="A1338" s="113" t="s">
        <v>5702</v>
      </c>
      <c r="B1338" s="112" t="s">
        <v>11322</v>
      </c>
    </row>
    <row r="1339" spans="1:2" ht="15">
      <c r="A1339" s="113" t="s">
        <v>5703</v>
      </c>
      <c r="B1339" s="112" t="s">
        <v>11322</v>
      </c>
    </row>
    <row r="1340" spans="1:2" ht="15">
      <c r="A1340" s="113" t="s">
        <v>5704</v>
      </c>
      <c r="B1340" s="112" t="s">
        <v>11322</v>
      </c>
    </row>
    <row r="1341" spans="1:2" ht="15">
      <c r="A1341" s="113" t="s">
        <v>5705</v>
      </c>
      <c r="B1341" s="112" t="s">
        <v>11322</v>
      </c>
    </row>
    <row r="1342" spans="1:2" ht="15">
      <c r="A1342" s="113" t="s">
        <v>5706</v>
      </c>
      <c r="B1342" s="112" t="s">
        <v>11322</v>
      </c>
    </row>
    <row r="1343" spans="1:2" ht="15">
      <c r="A1343" s="113" t="s">
        <v>5707</v>
      </c>
      <c r="B1343" s="112" t="s">
        <v>11322</v>
      </c>
    </row>
    <row r="1344" spans="1:2" ht="15">
      <c r="A1344" s="113" t="s">
        <v>5708</v>
      </c>
      <c r="B1344" s="112" t="s">
        <v>11322</v>
      </c>
    </row>
    <row r="1345" spans="1:2" ht="15">
      <c r="A1345" s="113" t="s">
        <v>5709</v>
      </c>
      <c r="B1345" s="112" t="s">
        <v>11322</v>
      </c>
    </row>
    <row r="1346" spans="1:2" ht="15">
      <c r="A1346" s="113" t="s">
        <v>5710</v>
      </c>
      <c r="B1346" s="112" t="s">
        <v>11322</v>
      </c>
    </row>
    <row r="1347" spans="1:2" ht="15">
      <c r="A1347" s="113" t="s">
        <v>5711</v>
      </c>
      <c r="B1347" s="112" t="s">
        <v>11322</v>
      </c>
    </row>
    <row r="1348" spans="1:2" ht="15">
      <c r="A1348" s="113" t="s">
        <v>5712</v>
      </c>
      <c r="B1348" s="112" t="s">
        <v>11322</v>
      </c>
    </row>
    <row r="1349" spans="1:2" ht="15">
      <c r="A1349" s="113" t="s">
        <v>5713</v>
      </c>
      <c r="B1349" s="112" t="s">
        <v>11322</v>
      </c>
    </row>
    <row r="1350" spans="1:2" ht="15">
      <c r="A1350" s="113" t="s">
        <v>5714</v>
      </c>
      <c r="B1350" s="112" t="s">
        <v>11322</v>
      </c>
    </row>
    <row r="1351" spans="1:2" ht="15">
      <c r="A1351" s="113" t="s">
        <v>5715</v>
      </c>
      <c r="B1351" s="112" t="s">
        <v>11322</v>
      </c>
    </row>
    <row r="1352" spans="1:2" ht="15">
      <c r="A1352" s="113" t="s">
        <v>5716</v>
      </c>
      <c r="B1352" s="112" t="s">
        <v>11322</v>
      </c>
    </row>
    <row r="1353" spans="1:2" ht="15">
      <c r="A1353" s="113" t="s">
        <v>5717</v>
      </c>
      <c r="B1353" s="112" t="s">
        <v>11322</v>
      </c>
    </row>
    <row r="1354" spans="1:2" ht="15">
      <c r="A1354" s="113" t="s">
        <v>5718</v>
      </c>
      <c r="B1354" s="112" t="s">
        <v>11322</v>
      </c>
    </row>
    <row r="1355" spans="1:2" ht="15">
      <c r="A1355" s="113" t="s">
        <v>5719</v>
      </c>
      <c r="B1355" s="112" t="s">
        <v>11322</v>
      </c>
    </row>
    <row r="1356" spans="1:2" ht="15">
      <c r="A1356" s="113" t="s">
        <v>5720</v>
      </c>
      <c r="B1356" s="112" t="s">
        <v>11322</v>
      </c>
    </row>
    <row r="1357" spans="1:2" ht="15">
      <c r="A1357" s="113" t="s">
        <v>5721</v>
      </c>
      <c r="B1357" s="112" t="s">
        <v>11322</v>
      </c>
    </row>
    <row r="1358" spans="1:2" ht="15">
      <c r="A1358" s="113" t="s">
        <v>5722</v>
      </c>
      <c r="B1358" s="112" t="s">
        <v>11322</v>
      </c>
    </row>
    <row r="1359" spans="1:2" ht="15">
      <c r="A1359" s="113" t="s">
        <v>5723</v>
      </c>
      <c r="B1359" s="112" t="s">
        <v>11322</v>
      </c>
    </row>
    <row r="1360" spans="1:2" ht="15">
      <c r="A1360" s="113" t="s">
        <v>5724</v>
      </c>
      <c r="B1360" s="112" t="s">
        <v>11322</v>
      </c>
    </row>
    <row r="1361" spans="1:2" ht="15">
      <c r="A1361" s="113" t="s">
        <v>5725</v>
      </c>
      <c r="B1361" s="112" t="s">
        <v>11322</v>
      </c>
    </row>
    <row r="1362" spans="1:2" ht="15">
      <c r="A1362" s="113" t="s">
        <v>5726</v>
      </c>
      <c r="B1362" s="112" t="s">
        <v>11322</v>
      </c>
    </row>
    <row r="1363" spans="1:2" ht="15">
      <c r="A1363" s="113" t="s">
        <v>5727</v>
      </c>
      <c r="B1363" s="112" t="s">
        <v>11322</v>
      </c>
    </row>
    <row r="1364" spans="1:2" ht="15">
      <c r="A1364" s="113" t="s">
        <v>5728</v>
      </c>
      <c r="B1364" s="112" t="s">
        <v>11322</v>
      </c>
    </row>
    <row r="1365" spans="1:2" ht="15">
      <c r="A1365" s="113" t="s">
        <v>5729</v>
      </c>
      <c r="B1365" s="112" t="s">
        <v>11322</v>
      </c>
    </row>
    <row r="1366" spans="1:2" ht="15">
      <c r="A1366" s="113" t="s">
        <v>5730</v>
      </c>
      <c r="B1366" s="112" t="s">
        <v>11322</v>
      </c>
    </row>
    <row r="1367" spans="1:2" ht="15">
      <c r="A1367" s="113" t="s">
        <v>5731</v>
      </c>
      <c r="B1367" s="112" t="s">
        <v>11322</v>
      </c>
    </row>
    <row r="1368" spans="1:2" ht="15">
      <c r="A1368" s="113" t="s">
        <v>5732</v>
      </c>
      <c r="B1368" s="112" t="s">
        <v>11322</v>
      </c>
    </row>
    <row r="1369" spans="1:2" ht="15">
      <c r="A1369" s="113" t="s">
        <v>5733</v>
      </c>
      <c r="B1369" s="112" t="s">
        <v>11322</v>
      </c>
    </row>
    <row r="1370" spans="1:2" ht="15">
      <c r="A1370" s="113" t="s">
        <v>5734</v>
      </c>
      <c r="B1370" s="112" t="s">
        <v>11322</v>
      </c>
    </row>
    <row r="1371" spans="1:2" ht="15">
      <c r="A1371" s="113" t="s">
        <v>5735</v>
      </c>
      <c r="B1371" s="112" t="s">
        <v>11322</v>
      </c>
    </row>
    <row r="1372" spans="1:2" ht="15">
      <c r="A1372" s="113" t="s">
        <v>5736</v>
      </c>
      <c r="B1372" s="112" t="s">
        <v>11322</v>
      </c>
    </row>
    <row r="1373" spans="1:2" ht="15">
      <c r="A1373" s="113" t="s">
        <v>5737</v>
      </c>
      <c r="B1373" s="112" t="s">
        <v>11322</v>
      </c>
    </row>
    <row r="1374" spans="1:2" ht="15">
      <c r="A1374" s="113" t="s">
        <v>5738</v>
      </c>
      <c r="B1374" s="112" t="s">
        <v>11322</v>
      </c>
    </row>
    <row r="1375" spans="1:2" ht="15">
      <c r="A1375" s="113" t="s">
        <v>5739</v>
      </c>
      <c r="B1375" s="112" t="s">
        <v>11322</v>
      </c>
    </row>
    <row r="1376" spans="1:2" ht="15">
      <c r="A1376" s="113" t="s">
        <v>5740</v>
      </c>
      <c r="B1376" s="112" t="s">
        <v>11322</v>
      </c>
    </row>
    <row r="1377" spans="1:2" ht="15">
      <c r="A1377" s="113" t="s">
        <v>5741</v>
      </c>
      <c r="B1377" s="112" t="s">
        <v>11322</v>
      </c>
    </row>
    <row r="1378" spans="1:2" ht="15">
      <c r="A1378" s="113" t="s">
        <v>5742</v>
      </c>
      <c r="B1378" s="112" t="s">
        <v>11322</v>
      </c>
    </row>
    <row r="1379" spans="1:2" ht="15">
      <c r="A1379" s="113" t="s">
        <v>5743</v>
      </c>
      <c r="B1379" s="112" t="s">
        <v>11322</v>
      </c>
    </row>
    <row r="1380" spans="1:2" ht="15">
      <c r="A1380" s="113" t="s">
        <v>5744</v>
      </c>
      <c r="B1380" s="112" t="s">
        <v>11322</v>
      </c>
    </row>
    <row r="1381" spans="1:2" ht="15">
      <c r="A1381" s="113" t="s">
        <v>5745</v>
      </c>
      <c r="B1381" s="112" t="s">
        <v>11322</v>
      </c>
    </row>
    <row r="1382" spans="1:2" ht="15">
      <c r="A1382" s="113" t="s">
        <v>5746</v>
      </c>
      <c r="B1382" s="112" t="s">
        <v>11322</v>
      </c>
    </row>
    <row r="1383" spans="1:2" ht="15">
      <c r="A1383" s="113" t="s">
        <v>5747</v>
      </c>
      <c r="B1383" s="112" t="s">
        <v>11322</v>
      </c>
    </row>
    <row r="1384" spans="1:2" ht="15">
      <c r="A1384" s="113" t="s">
        <v>5748</v>
      </c>
      <c r="B1384" s="112" t="s">
        <v>11322</v>
      </c>
    </row>
    <row r="1385" spans="1:2" ht="15">
      <c r="A1385" s="113" t="s">
        <v>5749</v>
      </c>
      <c r="B1385" s="112" t="s">
        <v>11322</v>
      </c>
    </row>
    <row r="1386" spans="1:2" ht="15">
      <c r="A1386" s="113" t="s">
        <v>5750</v>
      </c>
      <c r="B1386" s="112" t="s">
        <v>11322</v>
      </c>
    </row>
    <row r="1387" spans="1:2" ht="15">
      <c r="A1387" s="113" t="s">
        <v>5751</v>
      </c>
      <c r="B1387" s="112" t="s">
        <v>11322</v>
      </c>
    </row>
    <row r="1388" spans="1:2" ht="15">
      <c r="A1388" s="113" t="s">
        <v>5752</v>
      </c>
      <c r="B1388" s="112" t="s">
        <v>11322</v>
      </c>
    </row>
    <row r="1389" spans="1:2" ht="15">
      <c r="A1389" s="113" t="s">
        <v>5753</v>
      </c>
      <c r="B1389" s="112" t="s">
        <v>11322</v>
      </c>
    </row>
    <row r="1390" spans="1:2" ht="15">
      <c r="A1390" s="113" t="s">
        <v>5754</v>
      </c>
      <c r="B1390" s="112" t="s">
        <v>11322</v>
      </c>
    </row>
    <row r="1391" spans="1:2" ht="15">
      <c r="A1391" s="113" t="s">
        <v>5755</v>
      </c>
      <c r="B1391" s="112" t="s">
        <v>11322</v>
      </c>
    </row>
    <row r="1392" spans="1:2" ht="15">
      <c r="A1392" s="113" t="s">
        <v>5756</v>
      </c>
      <c r="B1392" s="112" t="s">
        <v>11322</v>
      </c>
    </row>
    <row r="1393" spans="1:2" ht="15">
      <c r="A1393" s="113" t="s">
        <v>5757</v>
      </c>
      <c r="B1393" s="112" t="s">
        <v>11322</v>
      </c>
    </row>
    <row r="1394" spans="1:2" ht="15">
      <c r="A1394" s="113" t="s">
        <v>5758</v>
      </c>
      <c r="B1394" s="112" t="s">
        <v>11322</v>
      </c>
    </row>
    <row r="1395" spans="1:2" ht="15">
      <c r="A1395" s="113" t="s">
        <v>5759</v>
      </c>
      <c r="B1395" s="112" t="s">
        <v>11322</v>
      </c>
    </row>
    <row r="1396" spans="1:2" ht="15">
      <c r="A1396" s="113" t="s">
        <v>5760</v>
      </c>
      <c r="B1396" s="112" t="s">
        <v>11322</v>
      </c>
    </row>
    <row r="1397" spans="1:2" ht="15">
      <c r="A1397" s="113" t="s">
        <v>5761</v>
      </c>
      <c r="B1397" s="112" t="s">
        <v>11322</v>
      </c>
    </row>
    <row r="1398" spans="1:2" ht="15">
      <c r="A1398" s="113" t="s">
        <v>5762</v>
      </c>
      <c r="B1398" s="112" t="s">
        <v>11322</v>
      </c>
    </row>
    <row r="1399" spans="1:2" ht="15">
      <c r="A1399" s="113" t="s">
        <v>5763</v>
      </c>
      <c r="B1399" s="112" t="s">
        <v>11322</v>
      </c>
    </row>
    <row r="1400" spans="1:2" ht="15">
      <c r="A1400" s="113" t="s">
        <v>5764</v>
      </c>
      <c r="B1400" s="112" t="s">
        <v>11322</v>
      </c>
    </row>
    <row r="1401" spans="1:2" ht="15">
      <c r="A1401" s="113" t="s">
        <v>5765</v>
      </c>
      <c r="B1401" s="112" t="s">
        <v>11322</v>
      </c>
    </row>
    <row r="1402" spans="1:2" ht="15">
      <c r="A1402" s="113" t="s">
        <v>5766</v>
      </c>
      <c r="B1402" s="112" t="s">
        <v>11322</v>
      </c>
    </row>
    <row r="1403" spans="1:2" ht="15">
      <c r="A1403" s="113" t="s">
        <v>5767</v>
      </c>
      <c r="B1403" s="112" t="s">
        <v>11322</v>
      </c>
    </row>
    <row r="1404" spans="1:2" ht="15">
      <c r="A1404" s="113" t="s">
        <v>5768</v>
      </c>
      <c r="B1404" s="112" t="s">
        <v>11322</v>
      </c>
    </row>
    <row r="1405" spans="1:2" ht="15">
      <c r="A1405" s="113" t="s">
        <v>5769</v>
      </c>
      <c r="B1405" s="112" t="s">
        <v>11322</v>
      </c>
    </row>
    <row r="1406" spans="1:2" ht="15">
      <c r="A1406" s="113" t="s">
        <v>5770</v>
      </c>
      <c r="B1406" s="112" t="s">
        <v>11322</v>
      </c>
    </row>
    <row r="1407" spans="1:2" ht="15">
      <c r="A1407" s="113" t="s">
        <v>5771</v>
      </c>
      <c r="B1407" s="112" t="s">
        <v>11322</v>
      </c>
    </row>
    <row r="1408" spans="1:2" ht="15">
      <c r="A1408" s="113" t="s">
        <v>5772</v>
      </c>
      <c r="B1408" s="112" t="s">
        <v>11322</v>
      </c>
    </row>
    <row r="1409" spans="1:2" ht="15">
      <c r="A1409" s="113" t="s">
        <v>5773</v>
      </c>
      <c r="B1409" s="112" t="s">
        <v>11322</v>
      </c>
    </row>
    <row r="1410" spans="1:2" ht="15">
      <c r="A1410" s="113" t="s">
        <v>5774</v>
      </c>
      <c r="B1410" s="112" t="s">
        <v>11322</v>
      </c>
    </row>
    <row r="1411" spans="1:2" ht="15">
      <c r="A1411" s="113" t="s">
        <v>5775</v>
      </c>
      <c r="B1411" s="112" t="s">
        <v>11322</v>
      </c>
    </row>
    <row r="1412" spans="1:2" ht="15">
      <c r="A1412" s="113" t="s">
        <v>5776</v>
      </c>
      <c r="B1412" s="112" t="s">
        <v>11322</v>
      </c>
    </row>
    <row r="1413" spans="1:2" ht="15">
      <c r="A1413" s="113" t="s">
        <v>5777</v>
      </c>
      <c r="B1413" s="112" t="s">
        <v>11322</v>
      </c>
    </row>
    <row r="1414" spans="1:2" ht="15">
      <c r="A1414" s="113" t="s">
        <v>5778</v>
      </c>
      <c r="B1414" s="112" t="s">
        <v>11322</v>
      </c>
    </row>
    <row r="1415" spans="1:2" ht="15">
      <c r="A1415" s="113" t="s">
        <v>5779</v>
      </c>
      <c r="B1415" s="112" t="s">
        <v>11322</v>
      </c>
    </row>
    <row r="1416" spans="1:2" ht="15">
      <c r="A1416" s="113" t="s">
        <v>5780</v>
      </c>
      <c r="B1416" s="112" t="s">
        <v>11322</v>
      </c>
    </row>
    <row r="1417" spans="1:2" ht="15">
      <c r="A1417" s="113" t="s">
        <v>5781</v>
      </c>
      <c r="B1417" s="112" t="s">
        <v>11322</v>
      </c>
    </row>
    <row r="1418" spans="1:2" ht="15">
      <c r="A1418" s="113" t="s">
        <v>5782</v>
      </c>
      <c r="B1418" s="112" t="s">
        <v>11322</v>
      </c>
    </row>
    <row r="1419" spans="1:2" ht="15">
      <c r="A1419" s="113" t="s">
        <v>5783</v>
      </c>
      <c r="B1419" s="112" t="s">
        <v>11322</v>
      </c>
    </row>
    <row r="1420" spans="1:2" ht="15">
      <c r="A1420" s="113" t="s">
        <v>5784</v>
      </c>
      <c r="B1420" s="112" t="s">
        <v>11322</v>
      </c>
    </row>
    <row r="1421" spans="1:2" ht="15">
      <c r="A1421" s="113" t="s">
        <v>5785</v>
      </c>
      <c r="B1421" s="112" t="s">
        <v>11322</v>
      </c>
    </row>
    <row r="1422" spans="1:2" ht="15">
      <c r="A1422" s="113" t="s">
        <v>5786</v>
      </c>
      <c r="B1422" s="112" t="s">
        <v>11322</v>
      </c>
    </row>
    <row r="1423" spans="1:2" ht="15">
      <c r="A1423" s="113" t="s">
        <v>5787</v>
      </c>
      <c r="B1423" s="112" t="s">
        <v>11322</v>
      </c>
    </row>
    <row r="1424" spans="1:2" ht="15">
      <c r="A1424" s="113" t="s">
        <v>5788</v>
      </c>
      <c r="B1424" s="112" t="s">
        <v>11322</v>
      </c>
    </row>
    <row r="1425" spans="1:2" ht="15">
      <c r="A1425" s="113" t="s">
        <v>5789</v>
      </c>
      <c r="B1425" s="112" t="s">
        <v>11322</v>
      </c>
    </row>
    <row r="1426" spans="1:2" ht="15">
      <c r="A1426" s="113" t="s">
        <v>5790</v>
      </c>
      <c r="B1426" s="112" t="s">
        <v>11322</v>
      </c>
    </row>
    <row r="1427" spans="1:2" ht="15">
      <c r="A1427" s="113" t="s">
        <v>5791</v>
      </c>
      <c r="B1427" s="112" t="s">
        <v>11322</v>
      </c>
    </row>
    <row r="1428" spans="1:2" ht="15">
      <c r="A1428" s="113" t="s">
        <v>5792</v>
      </c>
      <c r="B1428" s="112" t="s">
        <v>11322</v>
      </c>
    </row>
    <row r="1429" spans="1:2" ht="15">
      <c r="A1429" s="113" t="s">
        <v>5793</v>
      </c>
      <c r="B1429" s="112" t="s">
        <v>11322</v>
      </c>
    </row>
    <row r="1430" spans="1:2" ht="15">
      <c r="A1430" s="113" t="s">
        <v>5794</v>
      </c>
      <c r="B1430" s="112" t="s">
        <v>11322</v>
      </c>
    </row>
    <row r="1431" spans="1:2" ht="15">
      <c r="A1431" s="113" t="s">
        <v>5795</v>
      </c>
      <c r="B1431" s="112" t="s">
        <v>11322</v>
      </c>
    </row>
    <row r="1432" spans="1:2" ht="15">
      <c r="A1432" s="113" t="s">
        <v>5796</v>
      </c>
      <c r="B1432" s="112" t="s">
        <v>11322</v>
      </c>
    </row>
    <row r="1433" spans="1:2" ht="15">
      <c r="A1433" s="113" t="s">
        <v>5797</v>
      </c>
      <c r="B1433" s="112" t="s">
        <v>11322</v>
      </c>
    </row>
    <row r="1434" spans="1:2" ht="15">
      <c r="A1434" s="113" t="s">
        <v>5798</v>
      </c>
      <c r="B1434" s="112" t="s">
        <v>11322</v>
      </c>
    </row>
    <row r="1435" spans="1:2" ht="15">
      <c r="A1435" s="113" t="s">
        <v>5799</v>
      </c>
      <c r="B1435" s="112" t="s">
        <v>11322</v>
      </c>
    </row>
    <row r="1436" spans="1:2" ht="15">
      <c r="A1436" s="113" t="s">
        <v>5800</v>
      </c>
      <c r="B1436" s="112" t="s">
        <v>11322</v>
      </c>
    </row>
    <row r="1437" spans="1:2" ht="15">
      <c r="A1437" s="113" t="s">
        <v>5801</v>
      </c>
      <c r="B1437" s="112" t="s">
        <v>11322</v>
      </c>
    </row>
    <row r="1438" spans="1:2" ht="15">
      <c r="A1438" s="113" t="s">
        <v>5802</v>
      </c>
      <c r="B1438" s="112" t="s">
        <v>11322</v>
      </c>
    </row>
    <row r="1439" spans="1:2" ht="15">
      <c r="A1439" s="113" t="s">
        <v>5803</v>
      </c>
      <c r="B1439" s="112" t="s">
        <v>11322</v>
      </c>
    </row>
    <row r="1440" spans="1:2" ht="15">
      <c r="A1440" s="113" t="s">
        <v>5804</v>
      </c>
      <c r="B1440" s="112" t="s">
        <v>11322</v>
      </c>
    </row>
    <row r="1441" spans="1:2" ht="15">
      <c r="A1441" s="113" t="s">
        <v>5805</v>
      </c>
      <c r="B1441" s="112" t="s">
        <v>11322</v>
      </c>
    </row>
    <row r="1442" spans="1:2" ht="15">
      <c r="A1442" s="113" t="s">
        <v>5806</v>
      </c>
      <c r="B1442" s="112" t="s">
        <v>11322</v>
      </c>
    </row>
    <row r="1443" spans="1:2" ht="15">
      <c r="A1443" s="113" t="s">
        <v>5807</v>
      </c>
      <c r="B1443" s="112" t="s">
        <v>11322</v>
      </c>
    </row>
    <row r="1444" spans="1:2" ht="15">
      <c r="A1444" s="113" t="s">
        <v>5808</v>
      </c>
      <c r="B1444" s="112" t="s">
        <v>11322</v>
      </c>
    </row>
    <row r="1445" spans="1:2" ht="15">
      <c r="A1445" s="113" t="s">
        <v>5809</v>
      </c>
      <c r="B1445" s="112" t="s">
        <v>11322</v>
      </c>
    </row>
    <row r="1446" spans="1:2" ht="15">
      <c r="A1446" s="113" t="s">
        <v>5810</v>
      </c>
      <c r="B1446" s="112" t="s">
        <v>11322</v>
      </c>
    </row>
    <row r="1447" spans="1:2" ht="15">
      <c r="A1447" s="113" t="s">
        <v>5811</v>
      </c>
      <c r="B1447" s="112" t="s">
        <v>11322</v>
      </c>
    </row>
    <row r="1448" spans="1:2" ht="15">
      <c r="A1448" s="113" t="s">
        <v>5812</v>
      </c>
      <c r="B1448" s="112" t="s">
        <v>11322</v>
      </c>
    </row>
    <row r="1449" spans="1:2" ht="15">
      <c r="A1449" s="113" t="s">
        <v>5813</v>
      </c>
      <c r="B1449" s="112" t="s">
        <v>11322</v>
      </c>
    </row>
    <row r="1450" spans="1:2" ht="15">
      <c r="A1450" s="113" t="s">
        <v>5814</v>
      </c>
      <c r="B1450" s="112" t="s">
        <v>11322</v>
      </c>
    </row>
    <row r="1451" spans="1:2" ht="15">
      <c r="A1451" s="113" t="s">
        <v>5815</v>
      </c>
      <c r="B1451" s="112" t="s">
        <v>11322</v>
      </c>
    </row>
    <row r="1452" spans="1:2" ht="15">
      <c r="A1452" s="113" t="s">
        <v>5816</v>
      </c>
      <c r="B1452" s="112" t="s">
        <v>11322</v>
      </c>
    </row>
    <row r="1453" spans="1:2" ht="15">
      <c r="A1453" s="113" t="s">
        <v>5817</v>
      </c>
      <c r="B1453" s="112" t="s">
        <v>11322</v>
      </c>
    </row>
    <row r="1454" spans="1:2" ht="15">
      <c r="A1454" s="113" t="s">
        <v>5818</v>
      </c>
      <c r="B1454" s="112" t="s">
        <v>11322</v>
      </c>
    </row>
    <row r="1455" spans="1:2" ht="15">
      <c r="A1455" s="113" t="s">
        <v>5819</v>
      </c>
      <c r="B1455" s="112" t="s">
        <v>11322</v>
      </c>
    </row>
    <row r="1456" spans="1:2" ht="15">
      <c r="A1456" s="113" t="s">
        <v>5820</v>
      </c>
      <c r="B1456" s="112" t="s">
        <v>11322</v>
      </c>
    </row>
    <row r="1457" spans="1:2" ht="15">
      <c r="A1457" s="113" t="s">
        <v>5821</v>
      </c>
      <c r="B1457" s="112" t="s">
        <v>11322</v>
      </c>
    </row>
    <row r="1458" spans="1:2" ht="15">
      <c r="A1458" s="113" t="s">
        <v>5822</v>
      </c>
      <c r="B1458" s="112" t="s">
        <v>11322</v>
      </c>
    </row>
    <row r="1459" spans="1:2" ht="15">
      <c r="A1459" s="113" t="s">
        <v>5823</v>
      </c>
      <c r="B1459" s="112" t="s">
        <v>11322</v>
      </c>
    </row>
    <row r="1460" spans="1:2" ht="15">
      <c r="A1460" s="113" t="s">
        <v>5824</v>
      </c>
      <c r="B1460" s="112" t="s">
        <v>11322</v>
      </c>
    </row>
    <row r="1461" spans="1:2" ht="15">
      <c r="A1461" s="113" t="s">
        <v>5825</v>
      </c>
      <c r="B1461" s="112" t="s">
        <v>11322</v>
      </c>
    </row>
    <row r="1462" spans="1:2" ht="15">
      <c r="A1462" s="113" t="s">
        <v>5826</v>
      </c>
      <c r="B1462" s="112" t="s">
        <v>11322</v>
      </c>
    </row>
    <row r="1463" spans="1:2" ht="15">
      <c r="A1463" s="113" t="s">
        <v>5827</v>
      </c>
      <c r="B1463" s="112" t="s">
        <v>11322</v>
      </c>
    </row>
    <row r="1464" spans="1:2" ht="15">
      <c r="A1464" s="113" t="s">
        <v>5828</v>
      </c>
      <c r="B1464" s="112" t="s">
        <v>11322</v>
      </c>
    </row>
    <row r="1465" spans="1:2" ht="15">
      <c r="A1465" s="113" t="s">
        <v>5829</v>
      </c>
      <c r="B1465" s="112" t="s">
        <v>11322</v>
      </c>
    </row>
    <row r="1466" spans="1:2" ht="15">
      <c r="A1466" s="113" t="s">
        <v>5830</v>
      </c>
      <c r="B1466" s="112" t="s">
        <v>11322</v>
      </c>
    </row>
    <row r="1467" spans="1:2" ht="15">
      <c r="A1467" s="113" t="s">
        <v>5831</v>
      </c>
      <c r="B1467" s="112" t="s">
        <v>11322</v>
      </c>
    </row>
    <row r="1468" spans="1:2" ht="15">
      <c r="A1468" s="113" t="s">
        <v>5832</v>
      </c>
      <c r="B1468" s="112" t="s">
        <v>11322</v>
      </c>
    </row>
    <row r="1469" spans="1:2" ht="15">
      <c r="A1469" s="113" t="s">
        <v>5833</v>
      </c>
      <c r="B1469" s="112" t="s">
        <v>11322</v>
      </c>
    </row>
    <row r="1470" spans="1:2" ht="15">
      <c r="A1470" s="113" t="s">
        <v>5834</v>
      </c>
      <c r="B1470" s="112" t="s">
        <v>11322</v>
      </c>
    </row>
    <row r="1471" spans="1:2" ht="15">
      <c r="A1471" s="113" t="s">
        <v>5835</v>
      </c>
      <c r="B1471" s="112" t="s">
        <v>11322</v>
      </c>
    </row>
    <row r="1472" spans="1:2" ht="15">
      <c r="A1472" s="113" t="s">
        <v>5836</v>
      </c>
      <c r="B1472" s="112" t="s">
        <v>11322</v>
      </c>
    </row>
    <row r="1473" spans="1:2" ht="15">
      <c r="A1473" s="113" t="s">
        <v>5837</v>
      </c>
      <c r="B1473" s="112" t="s">
        <v>11322</v>
      </c>
    </row>
    <row r="1474" spans="1:2" ht="15">
      <c r="A1474" s="113" t="s">
        <v>5838</v>
      </c>
      <c r="B1474" s="112" t="s">
        <v>11322</v>
      </c>
    </row>
    <row r="1475" spans="1:2" ht="15">
      <c r="A1475" s="113" t="s">
        <v>5839</v>
      </c>
      <c r="B1475" s="112" t="s">
        <v>11322</v>
      </c>
    </row>
    <row r="1476" spans="1:2" ht="15">
      <c r="A1476" s="113" t="s">
        <v>5840</v>
      </c>
      <c r="B1476" s="112" t="s">
        <v>11322</v>
      </c>
    </row>
    <row r="1477" spans="1:2" ht="15">
      <c r="A1477" s="113" t="s">
        <v>5841</v>
      </c>
      <c r="B1477" s="112" t="s">
        <v>11322</v>
      </c>
    </row>
    <row r="1478" spans="1:2" ht="15">
      <c r="A1478" s="113" t="s">
        <v>5842</v>
      </c>
      <c r="B1478" s="112" t="s">
        <v>11322</v>
      </c>
    </row>
    <row r="1479" spans="1:2" ht="15">
      <c r="A1479" s="113" t="s">
        <v>5843</v>
      </c>
      <c r="B1479" s="112" t="s">
        <v>11322</v>
      </c>
    </row>
    <row r="1480" spans="1:2" ht="15">
      <c r="A1480" s="113" t="s">
        <v>5844</v>
      </c>
      <c r="B1480" s="112" t="s">
        <v>11322</v>
      </c>
    </row>
    <row r="1481" spans="1:2" ht="15">
      <c r="A1481" s="113" t="s">
        <v>5845</v>
      </c>
      <c r="B1481" s="112" t="s">
        <v>11322</v>
      </c>
    </row>
    <row r="1482" spans="1:2" ht="15">
      <c r="A1482" s="113" t="s">
        <v>5846</v>
      </c>
      <c r="B1482" s="112" t="s">
        <v>11322</v>
      </c>
    </row>
    <row r="1483" spans="1:2" ht="15">
      <c r="A1483" s="113" t="s">
        <v>5847</v>
      </c>
      <c r="B1483" s="112" t="s">
        <v>11322</v>
      </c>
    </row>
    <row r="1484" spans="1:2" ht="15">
      <c r="A1484" s="113" t="s">
        <v>5848</v>
      </c>
      <c r="B1484" s="112" t="s">
        <v>11322</v>
      </c>
    </row>
    <row r="1485" spans="1:2" ht="15">
      <c r="A1485" s="113" t="s">
        <v>5849</v>
      </c>
      <c r="B1485" s="112" t="s">
        <v>11322</v>
      </c>
    </row>
    <row r="1486" spans="1:2" ht="15">
      <c r="A1486" s="113" t="s">
        <v>5850</v>
      </c>
      <c r="B1486" s="112" t="s">
        <v>11322</v>
      </c>
    </row>
    <row r="1487" spans="1:2" ht="15">
      <c r="A1487" s="113" t="s">
        <v>5851</v>
      </c>
      <c r="B1487" s="112" t="s">
        <v>11322</v>
      </c>
    </row>
    <row r="1488" spans="1:2" ht="15">
      <c r="A1488" s="113" t="s">
        <v>5852</v>
      </c>
      <c r="B1488" s="112" t="s">
        <v>11322</v>
      </c>
    </row>
    <row r="1489" spans="1:2" ht="15">
      <c r="A1489" s="113" t="s">
        <v>5853</v>
      </c>
      <c r="B1489" s="112" t="s">
        <v>11322</v>
      </c>
    </row>
    <row r="1490" spans="1:2" ht="15">
      <c r="A1490" s="113" t="s">
        <v>5854</v>
      </c>
      <c r="B1490" s="112" t="s">
        <v>11322</v>
      </c>
    </row>
    <row r="1491" spans="1:2" ht="15">
      <c r="A1491" s="113" t="s">
        <v>5855</v>
      </c>
      <c r="B1491" s="112" t="s">
        <v>11322</v>
      </c>
    </row>
    <row r="1492" spans="1:2" ht="15">
      <c r="A1492" s="113" t="s">
        <v>5856</v>
      </c>
      <c r="B1492" s="112" t="s">
        <v>11322</v>
      </c>
    </row>
    <row r="1493" spans="1:2" ht="15">
      <c r="A1493" s="113" t="s">
        <v>5857</v>
      </c>
      <c r="B1493" s="112" t="s">
        <v>11322</v>
      </c>
    </row>
    <row r="1494" spans="1:2" ht="15">
      <c r="A1494" s="113" t="s">
        <v>5858</v>
      </c>
      <c r="B1494" s="112" t="s">
        <v>11322</v>
      </c>
    </row>
    <row r="1495" spans="1:2" ht="15">
      <c r="A1495" s="113" t="s">
        <v>5859</v>
      </c>
      <c r="B1495" s="112" t="s">
        <v>11322</v>
      </c>
    </row>
    <row r="1496" spans="1:2" ht="15">
      <c r="A1496" s="113" t="s">
        <v>5860</v>
      </c>
      <c r="B1496" s="112" t="s">
        <v>11322</v>
      </c>
    </row>
    <row r="1497" spans="1:2" ht="15">
      <c r="A1497" s="113" t="s">
        <v>5861</v>
      </c>
      <c r="B1497" s="112" t="s">
        <v>11322</v>
      </c>
    </row>
    <row r="1498" spans="1:2" ht="15">
      <c r="A1498" s="113" t="s">
        <v>5862</v>
      </c>
      <c r="B1498" s="112" t="s">
        <v>11322</v>
      </c>
    </row>
    <row r="1499" spans="1:2" ht="15">
      <c r="A1499" s="113" t="s">
        <v>5863</v>
      </c>
      <c r="B1499" s="112" t="s">
        <v>11322</v>
      </c>
    </row>
    <row r="1500" spans="1:2" ht="15">
      <c r="A1500" s="113" t="s">
        <v>5864</v>
      </c>
      <c r="B1500" s="112" t="s">
        <v>11322</v>
      </c>
    </row>
    <row r="1501" spans="1:2" ht="15">
      <c r="A1501" s="113" t="s">
        <v>5865</v>
      </c>
      <c r="B1501" s="112" t="s">
        <v>11322</v>
      </c>
    </row>
    <row r="1502" spans="1:2" ht="15">
      <c r="A1502" s="113" t="s">
        <v>5866</v>
      </c>
      <c r="B1502" s="112" t="s">
        <v>11322</v>
      </c>
    </row>
    <row r="1503" spans="1:2" ht="15">
      <c r="A1503" s="113" t="s">
        <v>5867</v>
      </c>
      <c r="B1503" s="112" t="s">
        <v>11322</v>
      </c>
    </row>
    <row r="1504" spans="1:2" ht="15">
      <c r="A1504" s="113" t="s">
        <v>5868</v>
      </c>
      <c r="B1504" s="112" t="s">
        <v>11322</v>
      </c>
    </row>
    <row r="1505" spans="1:2" ht="15">
      <c r="A1505" s="113" t="s">
        <v>5869</v>
      </c>
      <c r="B1505" s="112" t="s">
        <v>11322</v>
      </c>
    </row>
    <row r="1506" spans="1:2" ht="15">
      <c r="A1506" s="113" t="s">
        <v>5870</v>
      </c>
      <c r="B1506" s="112" t="s">
        <v>11322</v>
      </c>
    </row>
    <row r="1507" spans="1:2" ht="15">
      <c r="A1507" s="113" t="s">
        <v>5871</v>
      </c>
      <c r="B1507" s="112" t="s">
        <v>11322</v>
      </c>
    </row>
    <row r="1508" spans="1:2" ht="15">
      <c r="A1508" s="113" t="s">
        <v>5872</v>
      </c>
      <c r="B1508" s="112" t="s">
        <v>11322</v>
      </c>
    </row>
    <row r="1509" spans="1:2" ht="15">
      <c r="A1509" s="113" t="s">
        <v>5873</v>
      </c>
      <c r="B1509" s="112" t="s">
        <v>11322</v>
      </c>
    </row>
    <row r="1510" spans="1:2" ht="15">
      <c r="A1510" s="113" t="s">
        <v>5874</v>
      </c>
      <c r="B1510" s="112" t="s">
        <v>11322</v>
      </c>
    </row>
    <row r="1511" spans="1:2" ht="15">
      <c r="A1511" s="113" t="s">
        <v>5875</v>
      </c>
      <c r="B1511" s="112" t="s">
        <v>11322</v>
      </c>
    </row>
    <row r="1512" spans="1:2" ht="15">
      <c r="A1512" s="113" t="s">
        <v>5876</v>
      </c>
      <c r="B1512" s="112" t="s">
        <v>11322</v>
      </c>
    </row>
    <row r="1513" spans="1:2" ht="15">
      <c r="A1513" s="113" t="s">
        <v>5877</v>
      </c>
      <c r="B1513" s="112" t="s">
        <v>11322</v>
      </c>
    </row>
    <row r="1514" spans="1:2" ht="15">
      <c r="A1514" s="113" t="s">
        <v>5878</v>
      </c>
      <c r="B1514" s="112" t="s">
        <v>11322</v>
      </c>
    </row>
    <row r="1515" spans="1:2" ht="15">
      <c r="A1515" s="113" t="s">
        <v>5879</v>
      </c>
      <c r="B1515" s="112" t="s">
        <v>11322</v>
      </c>
    </row>
    <row r="1516" spans="1:2" ht="15">
      <c r="A1516" s="113" t="s">
        <v>5880</v>
      </c>
      <c r="B1516" s="112" t="s">
        <v>11322</v>
      </c>
    </row>
    <row r="1517" spans="1:2" ht="15">
      <c r="A1517" s="113" t="s">
        <v>5881</v>
      </c>
      <c r="B1517" s="112" t="s">
        <v>11322</v>
      </c>
    </row>
    <row r="1518" spans="1:2" ht="15">
      <c r="A1518" s="113" t="s">
        <v>5882</v>
      </c>
      <c r="B1518" s="112" t="s">
        <v>11322</v>
      </c>
    </row>
    <row r="1519" spans="1:2" ht="15">
      <c r="A1519" s="113" t="s">
        <v>5883</v>
      </c>
      <c r="B1519" s="112" t="s">
        <v>11322</v>
      </c>
    </row>
    <row r="1520" spans="1:2" ht="15">
      <c r="A1520" s="113" t="s">
        <v>5884</v>
      </c>
      <c r="B1520" s="112" t="s">
        <v>11322</v>
      </c>
    </row>
    <row r="1521" spans="1:2" ht="15">
      <c r="A1521" s="113" t="s">
        <v>5885</v>
      </c>
      <c r="B1521" s="112" t="s">
        <v>11322</v>
      </c>
    </row>
    <row r="1522" spans="1:2" ht="15">
      <c r="A1522" s="113" t="s">
        <v>5886</v>
      </c>
      <c r="B1522" s="112" t="s">
        <v>11322</v>
      </c>
    </row>
    <row r="1523" spans="1:2" ht="15">
      <c r="A1523" s="113" t="s">
        <v>5887</v>
      </c>
      <c r="B1523" s="112" t="s">
        <v>11322</v>
      </c>
    </row>
    <row r="1524" spans="1:2" ht="15">
      <c r="A1524" s="113" t="s">
        <v>5888</v>
      </c>
      <c r="B1524" s="112" t="s">
        <v>11322</v>
      </c>
    </row>
    <row r="1525" spans="1:2" ht="15">
      <c r="A1525" s="113" t="s">
        <v>5889</v>
      </c>
      <c r="B1525" s="112" t="s">
        <v>11322</v>
      </c>
    </row>
    <row r="1526" spans="1:2" ht="15">
      <c r="A1526" s="113" t="s">
        <v>5890</v>
      </c>
      <c r="B1526" s="112" t="s">
        <v>11322</v>
      </c>
    </row>
    <row r="1527" spans="1:2" ht="15">
      <c r="A1527" s="113" t="s">
        <v>5891</v>
      </c>
      <c r="B1527" s="112" t="s">
        <v>11322</v>
      </c>
    </row>
    <row r="1528" spans="1:2" ht="15">
      <c r="A1528" s="113" t="s">
        <v>5892</v>
      </c>
      <c r="B1528" s="112" t="s">
        <v>11322</v>
      </c>
    </row>
    <row r="1529" spans="1:2" ht="15">
      <c r="A1529" s="113" t="s">
        <v>5893</v>
      </c>
      <c r="B1529" s="112" t="s">
        <v>11322</v>
      </c>
    </row>
    <row r="1530" spans="1:2" ht="15">
      <c r="A1530" s="113" t="s">
        <v>5894</v>
      </c>
      <c r="B1530" s="112" t="s">
        <v>11322</v>
      </c>
    </row>
    <row r="1531" spans="1:2" ht="15">
      <c r="A1531" s="113" t="s">
        <v>5895</v>
      </c>
      <c r="B1531" s="112" t="s">
        <v>11322</v>
      </c>
    </row>
    <row r="1532" spans="1:2" ht="15">
      <c r="A1532" s="113" t="s">
        <v>5896</v>
      </c>
      <c r="B1532" s="112" t="s">
        <v>11322</v>
      </c>
    </row>
    <row r="1533" spans="1:2" ht="15">
      <c r="A1533" s="113" t="s">
        <v>5897</v>
      </c>
      <c r="B1533" s="112" t="s">
        <v>11322</v>
      </c>
    </row>
    <row r="1534" spans="1:2" ht="15">
      <c r="A1534" s="113" t="s">
        <v>5898</v>
      </c>
      <c r="B1534" s="112" t="s">
        <v>11322</v>
      </c>
    </row>
    <row r="1535" spans="1:2" ht="15">
      <c r="A1535" s="113" t="s">
        <v>5899</v>
      </c>
      <c r="B1535" s="112" t="s">
        <v>11322</v>
      </c>
    </row>
    <row r="1536" spans="1:2" ht="15">
      <c r="A1536" s="113" t="s">
        <v>5900</v>
      </c>
      <c r="B1536" s="112" t="s">
        <v>11322</v>
      </c>
    </row>
    <row r="1537" spans="1:2" ht="15">
      <c r="A1537" s="113" t="s">
        <v>5901</v>
      </c>
      <c r="B1537" s="112" t="s">
        <v>11322</v>
      </c>
    </row>
    <row r="1538" spans="1:2" ht="15">
      <c r="A1538" s="113" t="s">
        <v>5902</v>
      </c>
      <c r="B1538" s="112" t="s">
        <v>11322</v>
      </c>
    </row>
    <row r="1539" spans="1:2" ht="15">
      <c r="A1539" s="113" t="s">
        <v>5903</v>
      </c>
      <c r="B1539" s="112" t="s">
        <v>11322</v>
      </c>
    </row>
    <row r="1540" spans="1:2" ht="15">
      <c r="A1540" s="113" t="s">
        <v>5904</v>
      </c>
      <c r="B1540" s="112" t="s">
        <v>11322</v>
      </c>
    </row>
    <row r="1541" spans="1:2" ht="15">
      <c r="A1541" s="113" t="s">
        <v>5905</v>
      </c>
      <c r="B1541" s="112" t="s">
        <v>11322</v>
      </c>
    </row>
    <row r="1542" spans="1:2" ht="15">
      <c r="A1542" s="113" t="s">
        <v>5906</v>
      </c>
      <c r="B1542" s="112" t="s">
        <v>11322</v>
      </c>
    </row>
    <row r="1543" spans="1:2" ht="15">
      <c r="A1543" s="113" t="s">
        <v>5907</v>
      </c>
      <c r="B1543" s="112" t="s">
        <v>11322</v>
      </c>
    </row>
    <row r="1544" spans="1:2" ht="15">
      <c r="A1544" s="113" t="s">
        <v>5908</v>
      </c>
      <c r="B1544" s="112" t="s">
        <v>11322</v>
      </c>
    </row>
    <row r="1545" spans="1:2" ht="15">
      <c r="A1545" s="113" t="s">
        <v>5909</v>
      </c>
      <c r="B1545" s="112" t="s">
        <v>11322</v>
      </c>
    </row>
    <row r="1546" spans="1:2" ht="15">
      <c r="A1546" s="113" t="s">
        <v>5910</v>
      </c>
      <c r="B1546" s="112" t="s">
        <v>11322</v>
      </c>
    </row>
    <row r="1547" spans="1:2" ht="15">
      <c r="A1547" s="113" t="s">
        <v>5911</v>
      </c>
      <c r="B1547" s="112" t="s">
        <v>11322</v>
      </c>
    </row>
    <row r="1548" spans="1:2" ht="15">
      <c r="A1548" s="113" t="s">
        <v>5912</v>
      </c>
      <c r="B1548" s="112" t="s">
        <v>11322</v>
      </c>
    </row>
    <row r="1549" spans="1:2" ht="15">
      <c r="A1549" s="113" t="s">
        <v>5913</v>
      </c>
      <c r="B1549" s="112" t="s">
        <v>11322</v>
      </c>
    </row>
    <row r="1550" spans="1:2" ht="15">
      <c r="A1550" s="113" t="s">
        <v>5914</v>
      </c>
      <c r="B1550" s="112" t="s">
        <v>11322</v>
      </c>
    </row>
    <row r="1551" spans="1:2" ht="15">
      <c r="A1551" s="113" t="s">
        <v>5915</v>
      </c>
      <c r="B1551" s="112" t="s">
        <v>11322</v>
      </c>
    </row>
    <row r="1552" spans="1:2" ht="15">
      <c r="A1552" s="113" t="s">
        <v>5916</v>
      </c>
      <c r="B1552" s="112" t="s">
        <v>11322</v>
      </c>
    </row>
    <row r="1553" spans="1:2" ht="15">
      <c r="A1553" s="113" t="s">
        <v>5917</v>
      </c>
      <c r="B1553" s="112" t="s">
        <v>11322</v>
      </c>
    </row>
    <row r="1554" spans="1:2" ht="15">
      <c r="A1554" s="113" t="s">
        <v>5918</v>
      </c>
      <c r="B1554" s="112" t="s">
        <v>11322</v>
      </c>
    </row>
    <row r="1555" spans="1:2" ht="15">
      <c r="A1555" s="113" t="s">
        <v>5919</v>
      </c>
      <c r="B1555" s="112" t="s">
        <v>11322</v>
      </c>
    </row>
    <row r="1556" spans="1:2" ht="15">
      <c r="A1556" s="113" t="s">
        <v>5920</v>
      </c>
      <c r="B1556" s="112" t="s">
        <v>11322</v>
      </c>
    </row>
    <row r="1557" spans="1:2" ht="15">
      <c r="A1557" s="113" t="s">
        <v>5921</v>
      </c>
      <c r="B1557" s="112" t="s">
        <v>11322</v>
      </c>
    </row>
    <row r="1558" spans="1:2" ht="15">
      <c r="A1558" s="113" t="s">
        <v>5922</v>
      </c>
      <c r="B1558" s="112" t="s">
        <v>11322</v>
      </c>
    </row>
    <row r="1559" spans="1:2" ht="15">
      <c r="A1559" s="113" t="s">
        <v>5923</v>
      </c>
      <c r="B1559" s="112" t="s">
        <v>11322</v>
      </c>
    </row>
    <row r="1560" spans="1:2" ht="15">
      <c r="A1560" s="113" t="s">
        <v>5924</v>
      </c>
      <c r="B1560" s="112" t="s">
        <v>11322</v>
      </c>
    </row>
    <row r="1561" spans="1:2" ht="15">
      <c r="A1561" s="113" t="s">
        <v>5925</v>
      </c>
      <c r="B1561" s="112" t="s">
        <v>11322</v>
      </c>
    </row>
    <row r="1562" spans="1:2" ht="15">
      <c r="A1562" s="113" t="s">
        <v>5926</v>
      </c>
      <c r="B1562" s="112" t="s">
        <v>11322</v>
      </c>
    </row>
    <row r="1563" spans="1:2" ht="15">
      <c r="A1563" s="113" t="s">
        <v>5927</v>
      </c>
      <c r="B1563" s="112" t="s">
        <v>11322</v>
      </c>
    </row>
    <row r="1564" spans="1:2" ht="15">
      <c r="A1564" s="113" t="s">
        <v>5928</v>
      </c>
      <c r="B1564" s="112" t="s">
        <v>11322</v>
      </c>
    </row>
    <row r="1565" spans="1:2" ht="15">
      <c r="A1565" s="113" t="s">
        <v>5929</v>
      </c>
      <c r="B1565" s="112" t="s">
        <v>11322</v>
      </c>
    </row>
    <row r="1566" spans="1:2" ht="15">
      <c r="A1566" s="113" t="s">
        <v>5930</v>
      </c>
      <c r="B1566" s="112" t="s">
        <v>11322</v>
      </c>
    </row>
    <row r="1567" spans="1:2" ht="15">
      <c r="A1567" s="113" t="s">
        <v>5931</v>
      </c>
      <c r="B1567" s="112" t="s">
        <v>11322</v>
      </c>
    </row>
    <row r="1568" spans="1:2" ht="15">
      <c r="A1568" s="113" t="s">
        <v>5932</v>
      </c>
      <c r="B1568" s="112" t="s">
        <v>11322</v>
      </c>
    </row>
    <row r="1569" spans="1:2" ht="15">
      <c r="A1569" s="113" t="s">
        <v>5933</v>
      </c>
      <c r="B1569" s="112" t="s">
        <v>11322</v>
      </c>
    </row>
    <row r="1570" spans="1:2" ht="15">
      <c r="A1570" s="113" t="s">
        <v>5934</v>
      </c>
      <c r="B1570" s="112" t="s">
        <v>11322</v>
      </c>
    </row>
    <row r="1571" spans="1:2" ht="15">
      <c r="A1571" s="113" t="s">
        <v>5935</v>
      </c>
      <c r="B1571" s="112" t="s">
        <v>11322</v>
      </c>
    </row>
    <row r="1572" spans="1:2" ht="15">
      <c r="A1572" s="113" t="s">
        <v>5936</v>
      </c>
      <c r="B1572" s="112" t="s">
        <v>11322</v>
      </c>
    </row>
    <row r="1573" spans="1:2" ht="15">
      <c r="A1573" s="113" t="s">
        <v>5937</v>
      </c>
      <c r="B1573" s="112" t="s">
        <v>11322</v>
      </c>
    </row>
    <row r="1574" spans="1:2" ht="15">
      <c r="A1574" s="113" t="s">
        <v>5938</v>
      </c>
      <c r="B1574" s="112" t="s">
        <v>11322</v>
      </c>
    </row>
    <row r="1575" spans="1:2" ht="15">
      <c r="A1575" s="113" t="s">
        <v>5939</v>
      </c>
      <c r="B1575" s="112" t="s">
        <v>11322</v>
      </c>
    </row>
    <row r="1576" spans="1:2" ht="15">
      <c r="A1576" s="113" t="s">
        <v>5940</v>
      </c>
      <c r="B1576" s="112" t="s">
        <v>11322</v>
      </c>
    </row>
    <row r="1577" spans="1:2" ht="15">
      <c r="A1577" s="113" t="s">
        <v>5941</v>
      </c>
      <c r="B1577" s="112" t="s">
        <v>11322</v>
      </c>
    </row>
    <row r="1578" spans="1:2" ht="15">
      <c r="A1578" s="113" t="s">
        <v>5942</v>
      </c>
      <c r="B1578" s="112" t="s">
        <v>11322</v>
      </c>
    </row>
    <row r="1579" spans="1:2" ht="15">
      <c r="A1579" s="113" t="s">
        <v>5943</v>
      </c>
      <c r="B1579" s="112" t="s">
        <v>11322</v>
      </c>
    </row>
    <row r="1580" spans="1:2" ht="15">
      <c r="A1580" s="113" t="s">
        <v>5944</v>
      </c>
      <c r="B1580" s="112" t="s">
        <v>11322</v>
      </c>
    </row>
    <row r="1581" spans="1:2" ht="15">
      <c r="A1581" s="113" t="s">
        <v>5945</v>
      </c>
      <c r="B1581" s="112" t="s">
        <v>11322</v>
      </c>
    </row>
    <row r="1582" spans="1:2" ht="15">
      <c r="A1582" s="113" t="s">
        <v>5946</v>
      </c>
      <c r="B1582" s="112" t="s">
        <v>11322</v>
      </c>
    </row>
    <row r="1583" spans="1:2" ht="15">
      <c r="A1583" s="113" t="s">
        <v>5947</v>
      </c>
      <c r="B1583" s="112" t="s">
        <v>11322</v>
      </c>
    </row>
    <row r="1584" spans="1:2" ht="15">
      <c r="A1584" s="113" t="s">
        <v>5948</v>
      </c>
      <c r="B1584" s="112" t="s">
        <v>11322</v>
      </c>
    </row>
    <row r="1585" spans="1:2" ht="15">
      <c r="A1585" s="113" t="s">
        <v>5949</v>
      </c>
      <c r="B1585" s="112" t="s">
        <v>11322</v>
      </c>
    </row>
    <row r="1586" spans="1:2" ht="15">
      <c r="A1586" s="113" t="s">
        <v>5950</v>
      </c>
      <c r="B1586" s="112" t="s">
        <v>11322</v>
      </c>
    </row>
    <row r="1587" spans="1:2" ht="15">
      <c r="A1587" s="113" t="s">
        <v>5951</v>
      </c>
      <c r="B1587" s="112" t="s">
        <v>11322</v>
      </c>
    </row>
    <row r="1588" spans="1:2" ht="15">
      <c r="A1588" s="113" t="s">
        <v>5952</v>
      </c>
      <c r="B1588" s="112" t="s">
        <v>11322</v>
      </c>
    </row>
    <row r="1589" spans="1:2" ht="15">
      <c r="A1589" s="113" t="s">
        <v>5953</v>
      </c>
      <c r="B1589" s="112" t="s">
        <v>11322</v>
      </c>
    </row>
    <row r="1590" spans="1:2" ht="15">
      <c r="A1590" s="113" t="s">
        <v>5954</v>
      </c>
      <c r="B1590" s="112" t="s">
        <v>11322</v>
      </c>
    </row>
    <row r="1591" spans="1:2" ht="15">
      <c r="A1591" s="113" t="s">
        <v>5955</v>
      </c>
      <c r="B1591" s="112" t="s">
        <v>11322</v>
      </c>
    </row>
    <row r="1592" spans="1:2" ht="15">
      <c r="A1592" s="113" t="s">
        <v>5956</v>
      </c>
      <c r="B1592" s="112" t="s">
        <v>11322</v>
      </c>
    </row>
    <row r="1593" spans="1:2" ht="15">
      <c r="A1593" s="113" t="s">
        <v>5957</v>
      </c>
      <c r="B1593" s="112" t="s">
        <v>11322</v>
      </c>
    </row>
    <row r="1594" spans="1:2" ht="15">
      <c r="A1594" s="113" t="s">
        <v>5958</v>
      </c>
      <c r="B1594" s="112" t="s">
        <v>11322</v>
      </c>
    </row>
    <row r="1595" spans="1:2" ht="15">
      <c r="A1595" s="113" t="s">
        <v>5959</v>
      </c>
      <c r="B1595" s="112" t="s">
        <v>11322</v>
      </c>
    </row>
    <row r="1596" spans="1:2" ht="15">
      <c r="A1596" s="113" t="s">
        <v>5960</v>
      </c>
      <c r="B1596" s="112" t="s">
        <v>11322</v>
      </c>
    </row>
    <row r="1597" spans="1:2" ht="15">
      <c r="A1597" s="113" t="s">
        <v>5961</v>
      </c>
      <c r="B1597" s="112" t="s">
        <v>11322</v>
      </c>
    </row>
    <row r="1598" spans="1:2" ht="15">
      <c r="A1598" s="113" t="s">
        <v>5962</v>
      </c>
      <c r="B1598" s="112" t="s">
        <v>11322</v>
      </c>
    </row>
    <row r="1599" spans="1:2" ht="15">
      <c r="A1599" s="113" t="s">
        <v>5963</v>
      </c>
      <c r="B1599" s="112" t="s">
        <v>11322</v>
      </c>
    </row>
    <row r="1600" spans="1:2" ht="15">
      <c r="A1600" s="113" t="s">
        <v>5964</v>
      </c>
      <c r="B1600" s="112" t="s">
        <v>11322</v>
      </c>
    </row>
    <row r="1601" spans="1:2" ht="15">
      <c r="A1601" s="113" t="s">
        <v>5965</v>
      </c>
      <c r="B1601" s="112" t="s">
        <v>11322</v>
      </c>
    </row>
    <row r="1602" spans="1:2" ht="15">
      <c r="A1602" s="113" t="s">
        <v>5966</v>
      </c>
      <c r="B1602" s="112" t="s">
        <v>11322</v>
      </c>
    </row>
    <row r="1603" spans="1:2" ht="15">
      <c r="A1603" s="113" t="s">
        <v>5967</v>
      </c>
      <c r="B1603" s="112" t="s">
        <v>11322</v>
      </c>
    </row>
    <row r="1604" spans="1:2" ht="15">
      <c r="A1604" s="113" t="s">
        <v>5968</v>
      </c>
      <c r="B1604" s="112" t="s">
        <v>11322</v>
      </c>
    </row>
    <row r="1605" spans="1:2" ht="15">
      <c r="A1605" s="113" t="s">
        <v>5969</v>
      </c>
      <c r="B1605" s="112" t="s">
        <v>11322</v>
      </c>
    </row>
    <row r="1606" spans="1:2" ht="15">
      <c r="A1606" s="113" t="s">
        <v>5970</v>
      </c>
      <c r="B1606" s="112" t="s">
        <v>11322</v>
      </c>
    </row>
    <row r="1607" spans="1:2" ht="15">
      <c r="A1607" s="113" t="s">
        <v>5971</v>
      </c>
      <c r="B1607" s="112" t="s">
        <v>11322</v>
      </c>
    </row>
    <row r="1608" spans="1:2" ht="15">
      <c r="A1608" s="113" t="s">
        <v>5972</v>
      </c>
      <c r="B1608" s="112" t="s">
        <v>11322</v>
      </c>
    </row>
    <row r="1609" spans="1:2" ht="15">
      <c r="A1609" s="113" t="s">
        <v>5973</v>
      </c>
      <c r="B1609" s="112" t="s">
        <v>11322</v>
      </c>
    </row>
    <row r="1610" spans="1:2" ht="15">
      <c r="A1610" s="113" t="s">
        <v>5974</v>
      </c>
      <c r="B1610" s="112" t="s">
        <v>11322</v>
      </c>
    </row>
    <row r="1611" spans="1:2" ht="15">
      <c r="A1611" s="113" t="s">
        <v>5975</v>
      </c>
      <c r="B1611" s="112" t="s">
        <v>11322</v>
      </c>
    </row>
    <row r="1612" spans="1:2" ht="15">
      <c r="A1612" s="113" t="s">
        <v>5976</v>
      </c>
      <c r="B1612" s="112" t="s">
        <v>11322</v>
      </c>
    </row>
    <row r="1613" spans="1:2" ht="15">
      <c r="A1613" s="113" t="s">
        <v>5977</v>
      </c>
      <c r="B1613" s="112" t="s">
        <v>11322</v>
      </c>
    </row>
    <row r="1614" spans="1:2" ht="15">
      <c r="A1614" s="113" t="s">
        <v>5978</v>
      </c>
      <c r="B1614" s="112" t="s">
        <v>11322</v>
      </c>
    </row>
    <row r="1615" spans="1:2" ht="15">
      <c r="A1615" s="113" t="s">
        <v>5979</v>
      </c>
      <c r="B1615" s="112" t="s">
        <v>11322</v>
      </c>
    </row>
    <row r="1616" spans="1:2" ht="15">
      <c r="A1616" s="113" t="s">
        <v>5980</v>
      </c>
      <c r="B1616" s="112" t="s">
        <v>11322</v>
      </c>
    </row>
    <row r="1617" spans="1:2" ht="15">
      <c r="A1617" s="113" t="s">
        <v>5981</v>
      </c>
      <c r="B1617" s="112" t="s">
        <v>11322</v>
      </c>
    </row>
    <row r="1618" spans="1:2" ht="15">
      <c r="A1618" s="113" t="s">
        <v>5982</v>
      </c>
      <c r="B1618" s="112" t="s">
        <v>11322</v>
      </c>
    </row>
    <row r="1619" spans="1:2" ht="15">
      <c r="A1619" s="113" t="s">
        <v>5983</v>
      </c>
      <c r="B1619" s="112" t="s">
        <v>11322</v>
      </c>
    </row>
    <row r="1620" spans="1:2" ht="15">
      <c r="A1620" s="113" t="s">
        <v>5984</v>
      </c>
      <c r="B1620" s="112" t="s">
        <v>11322</v>
      </c>
    </row>
    <row r="1621" spans="1:2" ht="15">
      <c r="A1621" s="113" t="s">
        <v>5985</v>
      </c>
      <c r="B1621" s="112" t="s">
        <v>11322</v>
      </c>
    </row>
    <row r="1622" spans="1:2" ht="15">
      <c r="A1622" s="113" t="s">
        <v>5986</v>
      </c>
      <c r="B1622" s="112" t="s">
        <v>11322</v>
      </c>
    </row>
    <row r="1623" spans="1:2" ht="15">
      <c r="A1623" s="113" t="s">
        <v>5987</v>
      </c>
      <c r="B1623" s="112" t="s">
        <v>11322</v>
      </c>
    </row>
    <row r="1624" spans="1:2" ht="15">
      <c r="A1624" s="113" t="s">
        <v>5988</v>
      </c>
      <c r="B1624" s="112" t="s">
        <v>11322</v>
      </c>
    </row>
    <row r="1625" spans="1:2" ht="15">
      <c r="A1625" s="113" t="s">
        <v>5989</v>
      </c>
      <c r="B1625" s="112" t="s">
        <v>11322</v>
      </c>
    </row>
    <row r="1626" spans="1:2" ht="15">
      <c r="A1626" s="113" t="s">
        <v>5990</v>
      </c>
      <c r="B1626" s="112" t="s">
        <v>11322</v>
      </c>
    </row>
    <row r="1627" spans="1:2" ht="15">
      <c r="A1627" s="113" t="s">
        <v>5991</v>
      </c>
      <c r="B1627" s="112" t="s">
        <v>11322</v>
      </c>
    </row>
    <row r="1628" spans="1:2" ht="15">
      <c r="A1628" s="113" t="s">
        <v>5992</v>
      </c>
      <c r="B1628" s="112" t="s">
        <v>11322</v>
      </c>
    </row>
    <row r="1629" spans="1:2" ht="15">
      <c r="A1629" s="113" t="s">
        <v>5993</v>
      </c>
      <c r="B1629" s="112" t="s">
        <v>11322</v>
      </c>
    </row>
    <row r="1630" spans="1:2" ht="15">
      <c r="A1630" s="113" t="s">
        <v>5994</v>
      </c>
      <c r="B1630" s="112" t="s">
        <v>11322</v>
      </c>
    </row>
    <row r="1631" spans="1:2" ht="15">
      <c r="A1631" s="113" t="s">
        <v>5995</v>
      </c>
      <c r="B1631" s="112" t="s">
        <v>11322</v>
      </c>
    </row>
    <row r="1632" spans="1:2" ht="15">
      <c r="A1632" s="113" t="s">
        <v>5996</v>
      </c>
      <c r="B1632" s="112" t="s">
        <v>11322</v>
      </c>
    </row>
    <row r="1633" spans="1:2" ht="15">
      <c r="A1633" s="113" t="s">
        <v>5997</v>
      </c>
      <c r="B1633" s="112" t="s">
        <v>11322</v>
      </c>
    </row>
    <row r="1634" spans="1:2" ht="15">
      <c r="A1634" s="113" t="s">
        <v>5998</v>
      </c>
      <c r="B1634" s="112" t="s">
        <v>11322</v>
      </c>
    </row>
    <row r="1635" spans="1:2" ht="15">
      <c r="A1635" s="113" t="s">
        <v>5999</v>
      </c>
      <c r="B1635" s="112" t="s">
        <v>11322</v>
      </c>
    </row>
    <row r="1636" spans="1:2" ht="15">
      <c r="A1636" s="113" t="s">
        <v>6000</v>
      </c>
      <c r="B1636" s="112" t="s">
        <v>11322</v>
      </c>
    </row>
    <row r="1637" spans="1:2" ht="15">
      <c r="A1637" s="113" t="s">
        <v>6001</v>
      </c>
      <c r="B1637" s="112" t="s">
        <v>11322</v>
      </c>
    </row>
    <row r="1638" spans="1:2" ht="15">
      <c r="A1638" s="113" t="s">
        <v>6002</v>
      </c>
      <c r="B1638" s="112" t="s">
        <v>11322</v>
      </c>
    </row>
    <row r="1639" spans="1:2" ht="15">
      <c r="A1639" s="113" t="s">
        <v>6003</v>
      </c>
      <c r="B1639" s="112" t="s">
        <v>11322</v>
      </c>
    </row>
    <row r="1640" spans="1:2" ht="15">
      <c r="A1640" s="113" t="s">
        <v>6004</v>
      </c>
      <c r="B1640" s="112" t="s">
        <v>11322</v>
      </c>
    </row>
    <row r="1641" spans="1:2" ht="15">
      <c r="A1641" s="113" t="s">
        <v>6005</v>
      </c>
      <c r="B1641" s="112" t="s">
        <v>11322</v>
      </c>
    </row>
    <row r="1642" spans="1:2" ht="15">
      <c r="A1642" s="113" t="s">
        <v>6006</v>
      </c>
      <c r="B1642" s="112" t="s">
        <v>11322</v>
      </c>
    </row>
    <row r="1643" spans="1:2" ht="15">
      <c r="A1643" s="113" t="s">
        <v>6007</v>
      </c>
      <c r="B1643" s="112" t="s">
        <v>11322</v>
      </c>
    </row>
    <row r="1644" spans="1:2" ht="15">
      <c r="A1644" s="113" t="s">
        <v>6008</v>
      </c>
      <c r="B1644" s="112" t="s">
        <v>11322</v>
      </c>
    </row>
    <row r="1645" spans="1:2" ht="15">
      <c r="A1645" s="113" t="s">
        <v>6009</v>
      </c>
      <c r="B1645" s="112" t="s">
        <v>11322</v>
      </c>
    </row>
    <row r="1646" spans="1:2" ht="15">
      <c r="A1646" s="113" t="s">
        <v>6010</v>
      </c>
      <c r="B1646" s="112" t="s">
        <v>11322</v>
      </c>
    </row>
    <row r="1647" spans="1:2" ht="15">
      <c r="A1647" s="113" t="s">
        <v>6011</v>
      </c>
      <c r="B1647" s="112" t="s">
        <v>11322</v>
      </c>
    </row>
    <row r="1648" spans="1:2" ht="15">
      <c r="A1648" s="113" t="s">
        <v>6012</v>
      </c>
      <c r="B1648" s="112" t="s">
        <v>11322</v>
      </c>
    </row>
    <row r="1649" spans="1:2" ht="15">
      <c r="A1649" s="113" t="s">
        <v>6013</v>
      </c>
      <c r="B1649" s="112" t="s">
        <v>11322</v>
      </c>
    </row>
    <row r="1650" spans="1:2" ht="15">
      <c r="A1650" s="113" t="s">
        <v>6014</v>
      </c>
      <c r="B1650" s="112" t="s">
        <v>11322</v>
      </c>
    </row>
    <row r="1651" spans="1:2" ht="15">
      <c r="A1651" s="113" t="s">
        <v>6015</v>
      </c>
      <c r="B1651" s="112" t="s">
        <v>11322</v>
      </c>
    </row>
    <row r="1652" spans="1:2" ht="15">
      <c r="A1652" s="113" t="s">
        <v>6016</v>
      </c>
      <c r="B1652" s="112" t="s">
        <v>11322</v>
      </c>
    </row>
    <row r="1653" spans="1:2" ht="15">
      <c r="A1653" s="113" t="s">
        <v>6017</v>
      </c>
      <c r="B1653" s="112" t="s">
        <v>11322</v>
      </c>
    </row>
    <row r="1654" spans="1:2" ht="15">
      <c r="A1654" s="113" t="s">
        <v>6018</v>
      </c>
      <c r="B1654" s="112" t="s">
        <v>11322</v>
      </c>
    </row>
    <row r="1655" spans="1:2" ht="15">
      <c r="A1655" s="113" t="s">
        <v>6019</v>
      </c>
      <c r="B1655" s="112" t="s">
        <v>11322</v>
      </c>
    </row>
    <row r="1656" spans="1:2" ht="15">
      <c r="A1656" s="113" t="s">
        <v>6020</v>
      </c>
      <c r="B1656" s="112" t="s">
        <v>11322</v>
      </c>
    </row>
    <row r="1657" spans="1:2" ht="15">
      <c r="A1657" s="113" t="s">
        <v>6021</v>
      </c>
      <c r="B1657" s="112" t="s">
        <v>11322</v>
      </c>
    </row>
    <row r="1658" spans="1:2" ht="15">
      <c r="A1658" s="113" t="s">
        <v>6022</v>
      </c>
      <c r="B1658" s="112" t="s">
        <v>11322</v>
      </c>
    </row>
    <row r="1659" spans="1:2" ht="15">
      <c r="A1659" s="113" t="s">
        <v>6023</v>
      </c>
      <c r="B1659" s="112" t="s">
        <v>11322</v>
      </c>
    </row>
    <row r="1660" spans="1:2" ht="15">
      <c r="A1660" s="113" t="s">
        <v>6024</v>
      </c>
      <c r="B1660" s="112" t="s">
        <v>11322</v>
      </c>
    </row>
    <row r="1661" spans="1:2" ht="15">
      <c r="A1661" s="113" t="s">
        <v>6025</v>
      </c>
      <c r="B1661" s="112" t="s">
        <v>11322</v>
      </c>
    </row>
    <row r="1662" spans="1:2" ht="15">
      <c r="A1662" s="113" t="s">
        <v>6026</v>
      </c>
      <c r="B1662" s="112" t="s">
        <v>11322</v>
      </c>
    </row>
    <row r="1663" spans="1:2" ht="15">
      <c r="A1663" s="113" t="s">
        <v>6027</v>
      </c>
      <c r="B1663" s="112" t="s">
        <v>11322</v>
      </c>
    </row>
    <row r="1664" spans="1:2" ht="15">
      <c r="A1664" s="113" t="s">
        <v>6028</v>
      </c>
      <c r="B1664" s="112" t="s">
        <v>11322</v>
      </c>
    </row>
    <row r="1665" spans="1:2" ht="15">
      <c r="A1665" s="113" t="s">
        <v>6029</v>
      </c>
      <c r="B1665" s="112" t="s">
        <v>11322</v>
      </c>
    </row>
    <row r="1666" spans="1:2" ht="15">
      <c r="A1666" s="113" t="s">
        <v>6030</v>
      </c>
      <c r="B1666" s="112" t="s">
        <v>11322</v>
      </c>
    </row>
    <row r="1667" spans="1:2" ht="15">
      <c r="A1667" s="113" t="s">
        <v>6031</v>
      </c>
      <c r="B1667" s="112" t="s">
        <v>11322</v>
      </c>
    </row>
    <row r="1668" spans="1:2" ht="15">
      <c r="A1668" s="113" t="s">
        <v>6032</v>
      </c>
      <c r="B1668" s="112" t="s">
        <v>11322</v>
      </c>
    </row>
    <row r="1669" spans="1:2" ht="15">
      <c r="A1669" s="113" t="s">
        <v>6033</v>
      </c>
      <c r="B1669" s="112" t="s">
        <v>11322</v>
      </c>
    </row>
    <row r="1670" spans="1:2" ht="15">
      <c r="A1670" s="113" t="s">
        <v>6034</v>
      </c>
      <c r="B1670" s="112" t="s">
        <v>11322</v>
      </c>
    </row>
    <row r="1671" spans="1:2" ht="15">
      <c r="A1671" s="113" t="s">
        <v>6035</v>
      </c>
      <c r="B1671" s="112" t="s">
        <v>11322</v>
      </c>
    </row>
    <row r="1672" spans="1:2" ht="15">
      <c r="A1672" s="113" t="s">
        <v>6036</v>
      </c>
      <c r="B1672" s="112" t="s">
        <v>11322</v>
      </c>
    </row>
    <row r="1673" spans="1:2" ht="15">
      <c r="A1673" s="113" t="s">
        <v>6037</v>
      </c>
      <c r="B1673" s="112" t="s">
        <v>11322</v>
      </c>
    </row>
    <row r="1674" spans="1:2" ht="15">
      <c r="A1674" s="113" t="s">
        <v>6038</v>
      </c>
      <c r="B1674" s="112" t="s">
        <v>11322</v>
      </c>
    </row>
    <row r="1675" spans="1:2" ht="15">
      <c r="A1675" s="113" t="s">
        <v>6039</v>
      </c>
      <c r="B1675" s="112" t="s">
        <v>11322</v>
      </c>
    </row>
    <row r="1676" spans="1:2" ht="15">
      <c r="A1676" s="113" t="s">
        <v>6040</v>
      </c>
      <c r="B1676" s="112" t="s">
        <v>11322</v>
      </c>
    </row>
    <row r="1677" spans="1:2" ht="15">
      <c r="A1677" s="113" t="s">
        <v>6041</v>
      </c>
      <c r="B1677" s="112" t="s">
        <v>11322</v>
      </c>
    </row>
    <row r="1678" spans="1:2" ht="15">
      <c r="A1678" s="113" t="s">
        <v>6042</v>
      </c>
      <c r="B1678" s="112" t="s">
        <v>11322</v>
      </c>
    </row>
    <row r="1679" spans="1:2" ht="15">
      <c r="A1679" s="113" t="s">
        <v>6043</v>
      </c>
      <c r="B1679" s="112" t="s">
        <v>11322</v>
      </c>
    </row>
    <row r="1680" spans="1:2" ht="15">
      <c r="A1680" s="113" t="s">
        <v>6044</v>
      </c>
      <c r="B1680" s="112" t="s">
        <v>11322</v>
      </c>
    </row>
    <row r="1681" spans="1:2" ht="15">
      <c r="A1681" s="113" t="s">
        <v>6045</v>
      </c>
      <c r="B1681" s="112" t="s">
        <v>11322</v>
      </c>
    </row>
    <row r="1682" spans="1:2" ht="15">
      <c r="A1682" s="113" t="s">
        <v>6046</v>
      </c>
      <c r="B1682" s="112" t="s">
        <v>11322</v>
      </c>
    </row>
    <row r="1683" spans="1:2" ht="15">
      <c r="A1683" s="113" t="s">
        <v>6047</v>
      </c>
      <c r="B1683" s="112" t="s">
        <v>11322</v>
      </c>
    </row>
    <row r="1684" spans="1:2" ht="15">
      <c r="A1684" s="113" t="s">
        <v>6048</v>
      </c>
      <c r="B1684" s="112" t="s">
        <v>11322</v>
      </c>
    </row>
    <row r="1685" spans="1:2" ht="15">
      <c r="A1685" s="113" t="s">
        <v>6049</v>
      </c>
      <c r="B1685" s="112" t="s">
        <v>11322</v>
      </c>
    </row>
    <row r="1686" spans="1:2" ht="15">
      <c r="A1686" s="113" t="s">
        <v>6050</v>
      </c>
      <c r="B1686" s="112" t="s">
        <v>11322</v>
      </c>
    </row>
    <row r="1687" spans="1:2" ht="15">
      <c r="A1687" s="113" t="s">
        <v>6051</v>
      </c>
      <c r="B1687" s="112" t="s">
        <v>11322</v>
      </c>
    </row>
    <row r="1688" spans="1:2" ht="15">
      <c r="A1688" s="113" t="s">
        <v>6052</v>
      </c>
      <c r="B1688" s="112" t="s">
        <v>11322</v>
      </c>
    </row>
    <row r="1689" spans="1:2" ht="15">
      <c r="A1689" s="113" t="s">
        <v>6053</v>
      </c>
      <c r="B1689" s="112" t="s">
        <v>11322</v>
      </c>
    </row>
    <row r="1690" spans="1:2" ht="15">
      <c r="A1690" s="113" t="s">
        <v>6054</v>
      </c>
      <c r="B1690" s="112" t="s">
        <v>11322</v>
      </c>
    </row>
    <row r="1691" spans="1:2" ht="15">
      <c r="A1691" s="113" t="s">
        <v>6055</v>
      </c>
      <c r="B1691" s="112" t="s">
        <v>11322</v>
      </c>
    </row>
    <row r="1692" spans="1:2" ht="15">
      <c r="A1692" s="113" t="s">
        <v>6056</v>
      </c>
      <c r="B1692" s="112" t="s">
        <v>11322</v>
      </c>
    </row>
    <row r="1693" spans="1:2" ht="15">
      <c r="A1693" s="113" t="s">
        <v>6057</v>
      </c>
      <c r="B1693" s="112" t="s">
        <v>11322</v>
      </c>
    </row>
    <row r="1694" spans="1:2" ht="15">
      <c r="A1694" s="113" t="s">
        <v>6058</v>
      </c>
      <c r="B1694" s="112" t="s">
        <v>11322</v>
      </c>
    </row>
    <row r="1695" spans="1:2" ht="15">
      <c r="A1695" s="113" t="s">
        <v>6059</v>
      </c>
      <c r="B1695" s="112" t="s">
        <v>11322</v>
      </c>
    </row>
    <row r="1696" spans="1:2" ht="15">
      <c r="A1696" s="113" t="s">
        <v>6060</v>
      </c>
      <c r="B1696" s="112" t="s">
        <v>11322</v>
      </c>
    </row>
    <row r="1697" spans="1:2" ht="15">
      <c r="A1697" s="113" t="s">
        <v>6061</v>
      </c>
      <c r="B1697" s="112" t="s">
        <v>11322</v>
      </c>
    </row>
    <row r="1698" spans="1:2" ht="15">
      <c r="A1698" s="113" t="s">
        <v>6062</v>
      </c>
      <c r="B1698" s="112" t="s">
        <v>11322</v>
      </c>
    </row>
    <row r="1699" spans="1:2" ht="15">
      <c r="A1699" s="113" t="s">
        <v>6063</v>
      </c>
      <c r="B1699" s="112" t="s">
        <v>11322</v>
      </c>
    </row>
    <row r="1700" spans="1:2" ht="15">
      <c r="A1700" s="113" t="s">
        <v>6064</v>
      </c>
      <c r="B1700" s="112" t="s">
        <v>11322</v>
      </c>
    </row>
    <row r="1701" spans="1:2" ht="15">
      <c r="A1701" s="113" t="s">
        <v>6065</v>
      </c>
      <c r="B1701" s="112" t="s">
        <v>11322</v>
      </c>
    </row>
    <row r="1702" spans="1:2" ht="15">
      <c r="A1702" s="113" t="s">
        <v>6066</v>
      </c>
      <c r="B1702" s="112" t="s">
        <v>11322</v>
      </c>
    </row>
    <row r="1703" spans="1:2" ht="15">
      <c r="A1703" s="113" t="s">
        <v>6067</v>
      </c>
      <c r="B1703" s="112" t="s">
        <v>11322</v>
      </c>
    </row>
    <row r="1704" spans="1:2" ht="15">
      <c r="A1704" s="113" t="s">
        <v>6068</v>
      </c>
      <c r="B1704" s="112" t="s">
        <v>11322</v>
      </c>
    </row>
    <row r="1705" spans="1:2" ht="15">
      <c r="A1705" s="113" t="s">
        <v>6069</v>
      </c>
      <c r="B1705" s="112" t="s">
        <v>11322</v>
      </c>
    </row>
    <row r="1706" spans="1:2" ht="15">
      <c r="A1706" s="113" t="s">
        <v>6070</v>
      </c>
      <c r="B1706" s="112" t="s">
        <v>11322</v>
      </c>
    </row>
    <row r="1707" spans="1:2" ht="15">
      <c r="A1707" s="113" t="s">
        <v>6071</v>
      </c>
      <c r="B1707" s="112" t="s">
        <v>11322</v>
      </c>
    </row>
    <row r="1708" spans="1:2" ht="15">
      <c r="A1708" s="113" t="s">
        <v>6072</v>
      </c>
      <c r="B1708" s="112" t="s">
        <v>11322</v>
      </c>
    </row>
    <row r="1709" spans="1:2" ht="15">
      <c r="A1709" s="113" t="s">
        <v>6073</v>
      </c>
      <c r="B1709" s="112" t="s">
        <v>11322</v>
      </c>
    </row>
    <row r="1710" spans="1:2" ht="15">
      <c r="A1710" s="113" t="s">
        <v>6074</v>
      </c>
      <c r="B1710" s="112" t="s">
        <v>11322</v>
      </c>
    </row>
    <row r="1711" spans="1:2" ht="15">
      <c r="A1711" s="113" t="s">
        <v>6075</v>
      </c>
      <c r="B1711" s="112" t="s">
        <v>11322</v>
      </c>
    </row>
    <row r="1712" spans="1:2" ht="15">
      <c r="A1712" s="113" t="s">
        <v>6076</v>
      </c>
      <c r="B1712" s="112" t="s">
        <v>11322</v>
      </c>
    </row>
    <row r="1713" spans="1:2" ht="15">
      <c r="A1713" s="113" t="s">
        <v>6077</v>
      </c>
      <c r="B1713" s="112" t="s">
        <v>11322</v>
      </c>
    </row>
    <row r="1714" spans="1:2" ht="15">
      <c r="A1714" s="113" t="s">
        <v>6078</v>
      </c>
      <c r="B1714" s="112" t="s">
        <v>11322</v>
      </c>
    </row>
    <row r="1715" spans="1:2" ht="15">
      <c r="A1715" s="113" t="s">
        <v>6079</v>
      </c>
      <c r="B1715" s="112" t="s">
        <v>11322</v>
      </c>
    </row>
    <row r="1716" spans="1:2" ht="15">
      <c r="A1716" s="113" t="s">
        <v>6080</v>
      </c>
      <c r="B1716" s="112" t="s">
        <v>11322</v>
      </c>
    </row>
    <row r="1717" spans="1:2" ht="15">
      <c r="A1717" s="113" t="s">
        <v>6081</v>
      </c>
      <c r="B1717" s="112" t="s">
        <v>11322</v>
      </c>
    </row>
    <row r="1718" spans="1:2" ht="15">
      <c r="A1718" s="113" t="s">
        <v>6082</v>
      </c>
      <c r="B1718" s="112" t="s">
        <v>11322</v>
      </c>
    </row>
    <row r="1719" spans="1:2" ht="15">
      <c r="A1719" s="113" t="s">
        <v>6083</v>
      </c>
      <c r="B1719" s="112" t="s">
        <v>11322</v>
      </c>
    </row>
    <row r="1720" spans="1:2" ht="15">
      <c r="A1720" s="113" t="s">
        <v>6084</v>
      </c>
      <c r="B1720" s="112" t="s">
        <v>11322</v>
      </c>
    </row>
    <row r="1721" spans="1:2" ht="15">
      <c r="A1721" s="113" t="s">
        <v>6085</v>
      </c>
      <c r="B1721" s="112" t="s">
        <v>11322</v>
      </c>
    </row>
    <row r="1722" spans="1:2" ht="15">
      <c r="A1722" s="113" t="s">
        <v>6086</v>
      </c>
      <c r="B1722" s="112" t="s">
        <v>11322</v>
      </c>
    </row>
    <row r="1723" spans="1:2" ht="15">
      <c r="A1723" s="113" t="s">
        <v>6087</v>
      </c>
      <c r="B1723" s="112" t="s">
        <v>11322</v>
      </c>
    </row>
    <row r="1724" spans="1:2" ht="15">
      <c r="A1724" s="113" t="s">
        <v>6088</v>
      </c>
      <c r="B1724" s="112" t="s">
        <v>11322</v>
      </c>
    </row>
    <row r="1725" spans="1:2" ht="15">
      <c r="A1725" s="113" t="s">
        <v>6089</v>
      </c>
      <c r="B1725" s="112" t="s">
        <v>11322</v>
      </c>
    </row>
    <row r="1726" spans="1:2" ht="15">
      <c r="A1726" s="113" t="s">
        <v>6090</v>
      </c>
      <c r="B1726" s="112" t="s">
        <v>11322</v>
      </c>
    </row>
    <row r="1727" spans="1:2" ht="15">
      <c r="A1727" s="113" t="s">
        <v>6091</v>
      </c>
      <c r="B1727" s="112" t="s">
        <v>11322</v>
      </c>
    </row>
    <row r="1728" spans="1:2" ht="15">
      <c r="A1728" s="113" t="s">
        <v>6092</v>
      </c>
      <c r="B1728" s="112" t="s">
        <v>11322</v>
      </c>
    </row>
    <row r="1729" spans="1:2" ht="15">
      <c r="A1729" s="113" t="s">
        <v>6093</v>
      </c>
      <c r="B1729" s="112" t="s">
        <v>11322</v>
      </c>
    </row>
    <row r="1730" spans="1:2" ht="15">
      <c r="A1730" s="113" t="s">
        <v>6094</v>
      </c>
      <c r="B1730" s="112" t="s">
        <v>11322</v>
      </c>
    </row>
    <row r="1731" spans="1:2" ht="15">
      <c r="A1731" s="113" t="s">
        <v>6095</v>
      </c>
      <c r="B1731" s="112" t="s">
        <v>11322</v>
      </c>
    </row>
    <row r="1732" spans="1:2" ht="15">
      <c r="A1732" s="113" t="s">
        <v>6096</v>
      </c>
      <c r="B1732" s="112" t="s">
        <v>11322</v>
      </c>
    </row>
    <row r="1733" spans="1:2" ht="15">
      <c r="A1733" s="113" t="s">
        <v>6097</v>
      </c>
      <c r="B1733" s="112" t="s">
        <v>11322</v>
      </c>
    </row>
    <row r="1734" spans="1:2" ht="15">
      <c r="A1734" s="113" t="s">
        <v>6098</v>
      </c>
      <c r="B1734" s="112" t="s">
        <v>11322</v>
      </c>
    </row>
    <row r="1735" spans="1:2" ht="15">
      <c r="A1735" s="113" t="s">
        <v>6099</v>
      </c>
      <c r="B1735" s="112" t="s">
        <v>11322</v>
      </c>
    </row>
    <row r="1736" spans="1:2" ht="15">
      <c r="A1736" s="113" t="s">
        <v>6100</v>
      </c>
      <c r="B1736" s="112" t="s">
        <v>11322</v>
      </c>
    </row>
    <row r="1737" spans="1:2" ht="15">
      <c r="A1737" s="113" t="s">
        <v>6101</v>
      </c>
      <c r="B1737" s="112" t="s">
        <v>11322</v>
      </c>
    </row>
    <row r="1738" spans="1:2" ht="15">
      <c r="A1738" s="113" t="s">
        <v>6102</v>
      </c>
      <c r="B1738" s="112" t="s">
        <v>11322</v>
      </c>
    </row>
    <row r="1739" spans="1:2" ht="15">
      <c r="A1739" s="113" t="s">
        <v>6103</v>
      </c>
      <c r="B1739" s="112" t="s">
        <v>11322</v>
      </c>
    </row>
    <row r="1740" spans="1:2" ht="15">
      <c r="A1740" s="113" t="s">
        <v>6104</v>
      </c>
      <c r="B1740" s="112" t="s">
        <v>11322</v>
      </c>
    </row>
    <row r="1741" spans="1:2" ht="15">
      <c r="A1741" s="113" t="s">
        <v>6105</v>
      </c>
      <c r="B1741" s="112" t="s">
        <v>11322</v>
      </c>
    </row>
    <row r="1742" spans="1:2" ht="15">
      <c r="A1742" s="113" t="s">
        <v>6106</v>
      </c>
      <c r="B1742" s="112" t="s">
        <v>11322</v>
      </c>
    </row>
    <row r="1743" spans="1:2" ht="15">
      <c r="A1743" s="113" t="s">
        <v>6107</v>
      </c>
      <c r="B1743" s="112" t="s">
        <v>11322</v>
      </c>
    </row>
    <row r="1744" spans="1:2" ht="15">
      <c r="A1744" s="113" t="s">
        <v>6108</v>
      </c>
      <c r="B1744" s="112" t="s">
        <v>11322</v>
      </c>
    </row>
    <row r="1745" spans="1:2" ht="15">
      <c r="A1745" s="113" t="s">
        <v>6109</v>
      </c>
      <c r="B1745" s="112" t="s">
        <v>11322</v>
      </c>
    </row>
    <row r="1746" spans="1:2" ht="15">
      <c r="A1746" s="113" t="s">
        <v>6110</v>
      </c>
      <c r="B1746" s="112" t="s">
        <v>11322</v>
      </c>
    </row>
    <row r="1747" spans="1:2" ht="15">
      <c r="A1747" s="113" t="s">
        <v>6111</v>
      </c>
      <c r="B1747" s="112" t="s">
        <v>11322</v>
      </c>
    </row>
    <row r="1748" spans="1:2" ht="15">
      <c r="A1748" s="113" t="s">
        <v>6112</v>
      </c>
      <c r="B1748" s="112" t="s">
        <v>11322</v>
      </c>
    </row>
    <row r="1749" spans="1:2" ht="15">
      <c r="A1749" s="113" t="s">
        <v>6113</v>
      </c>
      <c r="B1749" s="112" t="s">
        <v>11322</v>
      </c>
    </row>
    <row r="1750" spans="1:2" ht="15">
      <c r="A1750" s="113" t="s">
        <v>6114</v>
      </c>
      <c r="B1750" s="112" t="s">
        <v>11322</v>
      </c>
    </row>
    <row r="1751" spans="1:2" ht="15">
      <c r="A1751" s="113" t="s">
        <v>6115</v>
      </c>
      <c r="B1751" s="112" t="s">
        <v>11322</v>
      </c>
    </row>
    <row r="1752" spans="1:2" ht="15">
      <c r="A1752" s="113" t="s">
        <v>6116</v>
      </c>
      <c r="B1752" s="112" t="s">
        <v>11322</v>
      </c>
    </row>
    <row r="1753" spans="1:2" ht="15">
      <c r="A1753" s="113" t="s">
        <v>6117</v>
      </c>
      <c r="B1753" s="112" t="s">
        <v>11322</v>
      </c>
    </row>
    <row r="1754" spans="1:2" ht="15">
      <c r="A1754" s="113" t="s">
        <v>6118</v>
      </c>
      <c r="B1754" s="112" t="s">
        <v>11322</v>
      </c>
    </row>
    <row r="1755" spans="1:2" ht="15">
      <c r="A1755" s="113" t="s">
        <v>6119</v>
      </c>
      <c r="B1755" s="112" t="s">
        <v>11322</v>
      </c>
    </row>
    <row r="1756" spans="1:2" ht="15">
      <c r="A1756" s="113" t="s">
        <v>6120</v>
      </c>
      <c r="B1756" s="112" t="s">
        <v>11322</v>
      </c>
    </row>
    <row r="1757" spans="1:2" ht="15">
      <c r="A1757" s="113" t="s">
        <v>6121</v>
      </c>
      <c r="B1757" s="112" t="s">
        <v>11322</v>
      </c>
    </row>
    <row r="1758" spans="1:2" ht="15">
      <c r="A1758" s="113" t="s">
        <v>6122</v>
      </c>
      <c r="B1758" s="112" t="s">
        <v>11322</v>
      </c>
    </row>
    <row r="1759" spans="1:2" ht="15">
      <c r="A1759" s="113" t="s">
        <v>6123</v>
      </c>
      <c r="B1759" s="112" t="s">
        <v>11322</v>
      </c>
    </row>
    <row r="1760" spans="1:2" ht="15">
      <c r="A1760" s="113" t="s">
        <v>6124</v>
      </c>
      <c r="B1760" s="112" t="s">
        <v>11322</v>
      </c>
    </row>
    <row r="1761" spans="1:2" ht="15">
      <c r="A1761" s="113" t="s">
        <v>6125</v>
      </c>
      <c r="B1761" s="112" t="s">
        <v>11322</v>
      </c>
    </row>
    <row r="1762" spans="1:2" ht="15">
      <c r="A1762" s="113" t="s">
        <v>6126</v>
      </c>
      <c r="B1762" s="112" t="s">
        <v>11322</v>
      </c>
    </row>
    <row r="1763" spans="1:2" ht="15">
      <c r="A1763" s="113" t="s">
        <v>6127</v>
      </c>
      <c r="B1763" s="112" t="s">
        <v>11322</v>
      </c>
    </row>
    <row r="1764" spans="1:2" ht="15">
      <c r="A1764" s="113" t="s">
        <v>6128</v>
      </c>
      <c r="B1764" s="112" t="s">
        <v>11322</v>
      </c>
    </row>
    <row r="1765" spans="1:2" ht="15">
      <c r="A1765" s="113" t="s">
        <v>6129</v>
      </c>
      <c r="B1765" s="112" t="s">
        <v>11322</v>
      </c>
    </row>
    <row r="1766" spans="1:2" ht="15">
      <c r="A1766" s="113" t="s">
        <v>6130</v>
      </c>
      <c r="B1766" s="112" t="s">
        <v>11322</v>
      </c>
    </row>
    <row r="1767" spans="1:2" ht="15">
      <c r="A1767" s="113" t="s">
        <v>6131</v>
      </c>
      <c r="B1767" s="112" t="s">
        <v>11322</v>
      </c>
    </row>
    <row r="1768" spans="1:2" ht="15">
      <c r="A1768" s="113" t="s">
        <v>6132</v>
      </c>
      <c r="B1768" s="112" t="s">
        <v>11322</v>
      </c>
    </row>
    <row r="1769" spans="1:2" ht="15">
      <c r="A1769" s="113" t="s">
        <v>6133</v>
      </c>
      <c r="B1769" s="112" t="s">
        <v>11322</v>
      </c>
    </row>
    <row r="1770" spans="1:2" ht="15">
      <c r="A1770" s="113" t="s">
        <v>6134</v>
      </c>
      <c r="B1770" s="112" t="s">
        <v>11322</v>
      </c>
    </row>
    <row r="1771" spans="1:2" ht="15">
      <c r="A1771" s="113" t="s">
        <v>6135</v>
      </c>
      <c r="B1771" s="112" t="s">
        <v>11322</v>
      </c>
    </row>
    <row r="1772" spans="1:2" ht="15">
      <c r="A1772" s="113" t="s">
        <v>6136</v>
      </c>
      <c r="B1772" s="112" t="s">
        <v>11322</v>
      </c>
    </row>
    <row r="1773" spans="1:2" ht="15">
      <c r="A1773" s="113" t="s">
        <v>6137</v>
      </c>
      <c r="B1773" s="112" t="s">
        <v>11322</v>
      </c>
    </row>
    <row r="1774" spans="1:2" ht="15">
      <c r="A1774" s="113" t="s">
        <v>6138</v>
      </c>
      <c r="B1774" s="112" t="s">
        <v>11322</v>
      </c>
    </row>
    <row r="1775" spans="1:2" ht="15">
      <c r="A1775" s="113" t="s">
        <v>6139</v>
      </c>
      <c r="B1775" s="112" t="s">
        <v>11322</v>
      </c>
    </row>
    <row r="1776" spans="1:2" ht="15">
      <c r="A1776" s="113" t="s">
        <v>6140</v>
      </c>
      <c r="B1776" s="112" t="s">
        <v>11322</v>
      </c>
    </row>
    <row r="1777" spans="1:2" ht="15">
      <c r="A1777" s="113" t="s">
        <v>6141</v>
      </c>
      <c r="B1777" s="112" t="s">
        <v>11322</v>
      </c>
    </row>
    <row r="1778" spans="1:2" ht="15">
      <c r="A1778" s="113" t="s">
        <v>6142</v>
      </c>
      <c r="B1778" s="112" t="s">
        <v>11322</v>
      </c>
    </row>
    <row r="1779" spans="1:2" ht="15">
      <c r="A1779" s="113" t="s">
        <v>6143</v>
      </c>
      <c r="B1779" s="112" t="s">
        <v>11322</v>
      </c>
    </row>
    <row r="1780" spans="1:2" ht="15">
      <c r="A1780" s="113" t="s">
        <v>6144</v>
      </c>
      <c r="B1780" s="112" t="s">
        <v>11322</v>
      </c>
    </row>
    <row r="1781" spans="1:2" ht="15">
      <c r="A1781" s="113" t="s">
        <v>6145</v>
      </c>
      <c r="B1781" s="112" t="s">
        <v>11322</v>
      </c>
    </row>
    <row r="1782" spans="1:2" ht="15">
      <c r="A1782" s="113" t="s">
        <v>6146</v>
      </c>
      <c r="B1782" s="112" t="s">
        <v>11322</v>
      </c>
    </row>
    <row r="1783" spans="1:2" ht="15">
      <c r="A1783" s="113" t="s">
        <v>6147</v>
      </c>
      <c r="B1783" s="112" t="s">
        <v>11322</v>
      </c>
    </row>
    <row r="1784" spans="1:2" ht="15">
      <c r="A1784" s="113" t="s">
        <v>6148</v>
      </c>
      <c r="B1784" s="112" t="s">
        <v>11322</v>
      </c>
    </row>
    <row r="1785" spans="1:2" ht="15">
      <c r="A1785" s="113" t="s">
        <v>6149</v>
      </c>
      <c r="B1785" s="112" t="s">
        <v>11322</v>
      </c>
    </row>
    <row r="1786" spans="1:2" ht="15">
      <c r="A1786" s="113" t="s">
        <v>6150</v>
      </c>
      <c r="B1786" s="112" t="s">
        <v>11322</v>
      </c>
    </row>
    <row r="1787" spans="1:2" ht="15">
      <c r="A1787" s="113" t="s">
        <v>6151</v>
      </c>
      <c r="B1787" s="112" t="s">
        <v>11322</v>
      </c>
    </row>
    <row r="1788" spans="1:2" ht="15">
      <c r="A1788" s="113" t="s">
        <v>6152</v>
      </c>
      <c r="B1788" s="112" t="s">
        <v>11322</v>
      </c>
    </row>
    <row r="1789" spans="1:2" ht="15">
      <c r="A1789" s="113" t="s">
        <v>6153</v>
      </c>
      <c r="B1789" s="112" t="s">
        <v>11322</v>
      </c>
    </row>
    <row r="1790" spans="1:2" ht="15">
      <c r="A1790" s="113" t="s">
        <v>6154</v>
      </c>
      <c r="B1790" s="112" t="s">
        <v>11322</v>
      </c>
    </row>
    <row r="1791" spans="1:2" ht="15">
      <c r="A1791" s="113" t="s">
        <v>6155</v>
      </c>
      <c r="B1791" s="112" t="s">
        <v>11322</v>
      </c>
    </row>
    <row r="1792" spans="1:2" ht="15">
      <c r="A1792" s="113" t="s">
        <v>6156</v>
      </c>
      <c r="B1792" s="112" t="s">
        <v>11322</v>
      </c>
    </row>
    <row r="1793" spans="1:2" ht="15">
      <c r="A1793" s="113" t="s">
        <v>6157</v>
      </c>
      <c r="B1793" s="112" t="s">
        <v>11322</v>
      </c>
    </row>
    <row r="1794" spans="1:2" ht="15">
      <c r="A1794" s="113" t="s">
        <v>6158</v>
      </c>
      <c r="B1794" s="112" t="s">
        <v>11322</v>
      </c>
    </row>
    <row r="1795" spans="1:2" ht="15">
      <c r="A1795" s="113" t="s">
        <v>6159</v>
      </c>
      <c r="B1795" s="112" t="s">
        <v>11322</v>
      </c>
    </row>
    <row r="1796" spans="1:2" ht="15">
      <c r="A1796" s="113" t="s">
        <v>6160</v>
      </c>
      <c r="B1796" s="112" t="s">
        <v>11322</v>
      </c>
    </row>
    <row r="1797" spans="1:2" ht="15">
      <c r="A1797" s="113" t="s">
        <v>6161</v>
      </c>
      <c r="B1797" s="112" t="s">
        <v>11322</v>
      </c>
    </row>
    <row r="1798" spans="1:2" ht="15">
      <c r="A1798" s="113" t="s">
        <v>6162</v>
      </c>
      <c r="B1798" s="112" t="s">
        <v>11322</v>
      </c>
    </row>
    <row r="1799" spans="1:2" ht="15">
      <c r="A1799" s="113" t="s">
        <v>6163</v>
      </c>
      <c r="B1799" s="112" t="s">
        <v>11322</v>
      </c>
    </row>
    <row r="1800" spans="1:2" ht="15">
      <c r="A1800" s="113" t="s">
        <v>6164</v>
      </c>
      <c r="B1800" s="112" t="s">
        <v>11322</v>
      </c>
    </row>
    <row r="1801" spans="1:2" ht="15">
      <c r="A1801" s="113" t="s">
        <v>6165</v>
      </c>
      <c r="B1801" s="112" t="s">
        <v>11322</v>
      </c>
    </row>
    <row r="1802" spans="1:2" ht="15">
      <c r="A1802" s="113" t="s">
        <v>6166</v>
      </c>
      <c r="B1802" s="112" t="s">
        <v>11322</v>
      </c>
    </row>
    <row r="1803" spans="1:2" ht="15">
      <c r="A1803" s="113" t="s">
        <v>6167</v>
      </c>
      <c r="B1803" s="112" t="s">
        <v>11322</v>
      </c>
    </row>
    <row r="1804" spans="1:2" ht="15">
      <c r="A1804" s="113" t="s">
        <v>6168</v>
      </c>
      <c r="B1804" s="112" t="s">
        <v>11322</v>
      </c>
    </row>
    <row r="1805" spans="1:2" ht="15">
      <c r="A1805" s="113" t="s">
        <v>6169</v>
      </c>
      <c r="B1805" s="112" t="s">
        <v>11322</v>
      </c>
    </row>
    <row r="1806" spans="1:2" ht="15">
      <c r="A1806" s="113" t="s">
        <v>6170</v>
      </c>
      <c r="B1806" s="112" t="s">
        <v>11322</v>
      </c>
    </row>
    <row r="1807" spans="1:2" ht="15">
      <c r="A1807" s="113" t="s">
        <v>6171</v>
      </c>
      <c r="B1807" s="112" t="s">
        <v>11322</v>
      </c>
    </row>
    <row r="1808" spans="1:2" ht="15">
      <c r="A1808" s="113" t="s">
        <v>6172</v>
      </c>
      <c r="B1808" s="112" t="s">
        <v>11322</v>
      </c>
    </row>
    <row r="1809" spans="1:2" ht="15">
      <c r="A1809" s="113" t="s">
        <v>6173</v>
      </c>
      <c r="B1809" s="112" t="s">
        <v>11322</v>
      </c>
    </row>
    <row r="1810" spans="1:2" ht="15">
      <c r="A1810" s="113" t="s">
        <v>6174</v>
      </c>
      <c r="B1810" s="112" t="s">
        <v>11322</v>
      </c>
    </row>
    <row r="1811" spans="1:2" ht="15">
      <c r="A1811" s="113" t="s">
        <v>6175</v>
      </c>
      <c r="B1811" s="112" t="s">
        <v>11322</v>
      </c>
    </row>
    <row r="1812" spans="1:2" ht="15">
      <c r="A1812" s="113" t="s">
        <v>6176</v>
      </c>
      <c r="B1812" s="112" t="s">
        <v>11322</v>
      </c>
    </row>
    <row r="1813" spans="1:2" ht="15">
      <c r="A1813" s="113" t="s">
        <v>6177</v>
      </c>
      <c r="B1813" s="112" t="s">
        <v>11322</v>
      </c>
    </row>
    <row r="1814" spans="1:2" ht="15">
      <c r="A1814" s="113" t="s">
        <v>6178</v>
      </c>
      <c r="B1814" s="112" t="s">
        <v>11322</v>
      </c>
    </row>
    <row r="1815" spans="1:2" ht="15">
      <c r="A1815" s="113" t="s">
        <v>6179</v>
      </c>
      <c r="B1815" s="112" t="s">
        <v>11322</v>
      </c>
    </row>
    <row r="1816" spans="1:2" ht="15">
      <c r="A1816" s="113" t="s">
        <v>6180</v>
      </c>
      <c r="B1816" s="112" t="s">
        <v>11322</v>
      </c>
    </row>
    <row r="1817" spans="1:2" ht="15">
      <c r="A1817" s="113" t="s">
        <v>6181</v>
      </c>
      <c r="B1817" s="112" t="s">
        <v>11322</v>
      </c>
    </row>
    <row r="1818" spans="1:2" ht="15">
      <c r="A1818" s="113" t="s">
        <v>6182</v>
      </c>
      <c r="B1818" s="112" t="s">
        <v>11322</v>
      </c>
    </row>
    <row r="1819" spans="1:2" ht="15">
      <c r="A1819" s="113" t="s">
        <v>6183</v>
      </c>
      <c r="B1819" s="112" t="s">
        <v>11322</v>
      </c>
    </row>
    <row r="1820" spans="1:2" ht="15">
      <c r="A1820" s="113" t="s">
        <v>6184</v>
      </c>
      <c r="B1820" s="112" t="s">
        <v>11322</v>
      </c>
    </row>
    <row r="1821" spans="1:2" ht="15">
      <c r="A1821" s="113" t="s">
        <v>6185</v>
      </c>
      <c r="B1821" s="112" t="s">
        <v>11322</v>
      </c>
    </row>
    <row r="1822" spans="1:2" ht="15">
      <c r="A1822" s="113" t="s">
        <v>6186</v>
      </c>
      <c r="B1822" s="112" t="s">
        <v>11322</v>
      </c>
    </row>
    <row r="1823" spans="1:2" ht="15">
      <c r="A1823" s="113" t="s">
        <v>6187</v>
      </c>
      <c r="B1823" s="112" t="s">
        <v>11322</v>
      </c>
    </row>
    <row r="1824" spans="1:2" ht="15">
      <c r="A1824" s="113" t="s">
        <v>6188</v>
      </c>
      <c r="B1824" s="112" t="s">
        <v>11322</v>
      </c>
    </row>
    <row r="1825" spans="1:2" ht="15">
      <c r="A1825" s="113" t="s">
        <v>6189</v>
      </c>
      <c r="B1825" s="112" t="s">
        <v>11322</v>
      </c>
    </row>
    <row r="1826" spans="1:2" ht="15">
      <c r="A1826" s="113" t="s">
        <v>6190</v>
      </c>
      <c r="B1826" s="112" t="s">
        <v>11322</v>
      </c>
    </row>
    <row r="1827" spans="1:2" ht="15">
      <c r="A1827" s="113" t="s">
        <v>6191</v>
      </c>
      <c r="B1827" s="112" t="s">
        <v>11322</v>
      </c>
    </row>
    <row r="1828" spans="1:2" ht="15">
      <c r="A1828" s="113" t="s">
        <v>6192</v>
      </c>
      <c r="B1828" s="112" t="s">
        <v>11322</v>
      </c>
    </row>
    <row r="1829" spans="1:2" ht="15">
      <c r="A1829" s="113" t="s">
        <v>6193</v>
      </c>
      <c r="B1829" s="112" t="s">
        <v>11322</v>
      </c>
    </row>
    <row r="1830" spans="1:2" ht="15">
      <c r="A1830" s="113" t="s">
        <v>6194</v>
      </c>
      <c r="B1830" s="112" t="s">
        <v>11322</v>
      </c>
    </row>
    <row r="1831" spans="1:2" ht="15">
      <c r="A1831" s="113" t="s">
        <v>6195</v>
      </c>
      <c r="B1831" s="112" t="s">
        <v>11322</v>
      </c>
    </row>
    <row r="1832" spans="1:2" ht="15">
      <c r="A1832" s="113" t="s">
        <v>6196</v>
      </c>
      <c r="B1832" s="112" t="s">
        <v>11322</v>
      </c>
    </row>
    <row r="1833" spans="1:2" ht="15">
      <c r="A1833" s="113" t="s">
        <v>6197</v>
      </c>
      <c r="B1833" s="112" t="s">
        <v>11322</v>
      </c>
    </row>
    <row r="1834" spans="1:2" ht="15">
      <c r="A1834" s="113" t="s">
        <v>6198</v>
      </c>
      <c r="B1834" s="112" t="s">
        <v>11322</v>
      </c>
    </row>
    <row r="1835" spans="1:2" ht="15">
      <c r="A1835" s="113" t="s">
        <v>6199</v>
      </c>
      <c r="B1835" s="112" t="s">
        <v>11322</v>
      </c>
    </row>
    <row r="1836" spans="1:2" ht="15">
      <c r="A1836" s="113" t="s">
        <v>6200</v>
      </c>
      <c r="B1836" s="112" t="s">
        <v>11322</v>
      </c>
    </row>
    <row r="1837" spans="1:2" ht="15">
      <c r="A1837" s="113" t="s">
        <v>6201</v>
      </c>
      <c r="B1837" s="112" t="s">
        <v>11322</v>
      </c>
    </row>
    <row r="1838" spans="1:2" ht="15">
      <c r="A1838" s="113" t="s">
        <v>6202</v>
      </c>
      <c r="B1838" s="112" t="s">
        <v>11322</v>
      </c>
    </row>
    <row r="1839" spans="1:2" ht="15">
      <c r="A1839" s="113" t="s">
        <v>6203</v>
      </c>
      <c r="B1839" s="112" t="s">
        <v>11322</v>
      </c>
    </row>
    <row r="1840" spans="1:2" ht="15">
      <c r="A1840" s="113" t="s">
        <v>6204</v>
      </c>
      <c r="B1840" s="112" t="s">
        <v>11322</v>
      </c>
    </row>
    <row r="1841" spans="1:2" ht="15">
      <c r="A1841" s="113" t="s">
        <v>6205</v>
      </c>
      <c r="B1841" s="112" t="s">
        <v>11322</v>
      </c>
    </row>
    <row r="1842" spans="1:2" ht="15">
      <c r="A1842" s="113" t="s">
        <v>6206</v>
      </c>
      <c r="B1842" s="112" t="s">
        <v>11322</v>
      </c>
    </row>
    <row r="1843" spans="1:2" ht="15">
      <c r="A1843" s="113" t="s">
        <v>6207</v>
      </c>
      <c r="B1843" s="112" t="s">
        <v>11322</v>
      </c>
    </row>
    <row r="1844" spans="1:2" ht="15">
      <c r="A1844" s="113" t="s">
        <v>6208</v>
      </c>
      <c r="B1844" s="112" t="s">
        <v>11322</v>
      </c>
    </row>
    <row r="1845" spans="1:2" ht="15">
      <c r="A1845" s="113" t="s">
        <v>6209</v>
      </c>
      <c r="B1845" s="112" t="s">
        <v>11322</v>
      </c>
    </row>
    <row r="1846" spans="1:2" ht="15">
      <c r="A1846" s="113" t="s">
        <v>6210</v>
      </c>
      <c r="B1846" s="112" t="s">
        <v>11322</v>
      </c>
    </row>
    <row r="1847" spans="1:2" ht="15">
      <c r="A1847" s="113" t="s">
        <v>6211</v>
      </c>
      <c r="B1847" s="112" t="s">
        <v>11322</v>
      </c>
    </row>
    <row r="1848" spans="1:2" ht="15">
      <c r="A1848" s="113" t="s">
        <v>6212</v>
      </c>
      <c r="B1848" s="112" t="s">
        <v>11322</v>
      </c>
    </row>
    <row r="1849" spans="1:2" ht="15">
      <c r="A1849" s="113" t="s">
        <v>6213</v>
      </c>
      <c r="B1849" s="112" t="s">
        <v>11322</v>
      </c>
    </row>
    <row r="1850" spans="1:2" ht="15">
      <c r="A1850" s="113" t="s">
        <v>6214</v>
      </c>
      <c r="B1850" s="112" t="s">
        <v>11322</v>
      </c>
    </row>
    <row r="1851" spans="1:2" ht="15">
      <c r="A1851" s="113" t="s">
        <v>6215</v>
      </c>
      <c r="B1851" s="112" t="s">
        <v>11322</v>
      </c>
    </row>
    <row r="1852" spans="1:2" ht="15">
      <c r="A1852" s="113" t="s">
        <v>6216</v>
      </c>
      <c r="B1852" s="112" t="s">
        <v>11322</v>
      </c>
    </row>
    <row r="1853" spans="1:2" ht="15">
      <c r="A1853" s="113" t="s">
        <v>6217</v>
      </c>
      <c r="B1853" s="112" t="s">
        <v>11322</v>
      </c>
    </row>
    <row r="1854" spans="1:2" ht="15">
      <c r="A1854" s="113" t="s">
        <v>6218</v>
      </c>
      <c r="B1854" s="112" t="s">
        <v>11322</v>
      </c>
    </row>
    <row r="1855" spans="1:2" ht="15">
      <c r="A1855" s="113" t="s">
        <v>6219</v>
      </c>
      <c r="B1855" s="112" t="s">
        <v>11322</v>
      </c>
    </row>
    <row r="1856" spans="1:2" ht="15">
      <c r="A1856" s="113" t="s">
        <v>6220</v>
      </c>
      <c r="B1856" s="112" t="s">
        <v>11322</v>
      </c>
    </row>
    <row r="1857" spans="1:2" ht="15">
      <c r="A1857" s="113" t="s">
        <v>6221</v>
      </c>
      <c r="B1857" s="112" t="s">
        <v>11322</v>
      </c>
    </row>
    <row r="1858" spans="1:2" ht="15">
      <c r="A1858" s="113" t="s">
        <v>6222</v>
      </c>
      <c r="B1858" s="112" t="s">
        <v>11322</v>
      </c>
    </row>
    <row r="1859" spans="1:2" ht="15">
      <c r="A1859" s="113" t="s">
        <v>6223</v>
      </c>
      <c r="B1859" s="112" t="s">
        <v>11322</v>
      </c>
    </row>
    <row r="1860" spans="1:2" ht="15">
      <c r="A1860" s="113" t="s">
        <v>6224</v>
      </c>
      <c r="B1860" s="112" t="s">
        <v>11322</v>
      </c>
    </row>
    <row r="1861" spans="1:2" ht="15">
      <c r="A1861" s="113" t="s">
        <v>6225</v>
      </c>
      <c r="B1861" s="112" t="s">
        <v>11322</v>
      </c>
    </row>
    <row r="1862" spans="1:2" ht="15">
      <c r="A1862" s="113" t="s">
        <v>6226</v>
      </c>
      <c r="B1862" s="112" t="s">
        <v>11322</v>
      </c>
    </row>
    <row r="1863" spans="1:2" ht="15">
      <c r="A1863" s="113" t="s">
        <v>6227</v>
      </c>
      <c r="B1863" s="112" t="s">
        <v>11322</v>
      </c>
    </row>
    <row r="1864" spans="1:2" ht="15">
      <c r="A1864" s="113" t="s">
        <v>6228</v>
      </c>
      <c r="B1864" s="112" t="s">
        <v>11322</v>
      </c>
    </row>
    <row r="1865" spans="1:2" ht="15">
      <c r="A1865" s="113" t="s">
        <v>6229</v>
      </c>
      <c r="B1865" s="112" t="s">
        <v>11322</v>
      </c>
    </row>
    <row r="1866" spans="1:2" ht="15">
      <c r="A1866" s="113" t="s">
        <v>6230</v>
      </c>
      <c r="B1866" s="112" t="s">
        <v>11322</v>
      </c>
    </row>
    <row r="1867" spans="1:2" ht="15">
      <c r="A1867" s="113" t="s">
        <v>6231</v>
      </c>
      <c r="B1867" s="112" t="s">
        <v>11322</v>
      </c>
    </row>
    <row r="1868" spans="1:2" ht="15">
      <c r="A1868" s="113" t="s">
        <v>6232</v>
      </c>
      <c r="B1868" s="112" t="s">
        <v>11322</v>
      </c>
    </row>
    <row r="1869" spans="1:2" ht="15">
      <c r="A1869" s="113" t="s">
        <v>6233</v>
      </c>
      <c r="B1869" s="112" t="s">
        <v>11322</v>
      </c>
    </row>
    <row r="1870" spans="1:2" ht="15">
      <c r="A1870" s="113" t="s">
        <v>6234</v>
      </c>
      <c r="B1870" s="112" t="s">
        <v>11322</v>
      </c>
    </row>
    <row r="1871" spans="1:2" ht="15">
      <c r="A1871" s="113" t="s">
        <v>6235</v>
      </c>
      <c r="B1871" s="112" t="s">
        <v>11322</v>
      </c>
    </row>
    <row r="1872" spans="1:2" ht="15">
      <c r="A1872" s="113" t="s">
        <v>6236</v>
      </c>
      <c r="B1872" s="112" t="s">
        <v>11322</v>
      </c>
    </row>
    <row r="1873" spans="1:2" ht="15">
      <c r="A1873" s="113" t="s">
        <v>6237</v>
      </c>
      <c r="B1873" s="112" t="s">
        <v>11322</v>
      </c>
    </row>
    <row r="1874" spans="1:2" ht="15">
      <c r="A1874" s="113" t="s">
        <v>6238</v>
      </c>
      <c r="B1874" s="112" t="s">
        <v>11322</v>
      </c>
    </row>
    <row r="1875" spans="1:2" ht="15">
      <c r="A1875" s="113" t="s">
        <v>6239</v>
      </c>
      <c r="B1875" s="112" t="s">
        <v>11322</v>
      </c>
    </row>
    <row r="1876" spans="1:2" ht="15">
      <c r="A1876" s="113" t="s">
        <v>6240</v>
      </c>
      <c r="B1876" s="112" t="s">
        <v>11322</v>
      </c>
    </row>
    <row r="1877" spans="1:2" ht="15">
      <c r="A1877" s="113" t="s">
        <v>6241</v>
      </c>
      <c r="B1877" s="112" t="s">
        <v>11322</v>
      </c>
    </row>
    <row r="1878" spans="1:2" ht="15">
      <c r="A1878" s="113" t="s">
        <v>6242</v>
      </c>
      <c r="B1878" s="112" t="s">
        <v>11322</v>
      </c>
    </row>
    <row r="1879" spans="1:2" ht="15">
      <c r="A1879" s="113" t="s">
        <v>6243</v>
      </c>
      <c r="B1879" s="112" t="s">
        <v>11322</v>
      </c>
    </row>
    <row r="1880" spans="1:2" ht="15">
      <c r="A1880" s="113" t="s">
        <v>6244</v>
      </c>
      <c r="B1880" s="112" t="s">
        <v>11322</v>
      </c>
    </row>
    <row r="1881" spans="1:2" ht="15">
      <c r="A1881" s="113" t="s">
        <v>6245</v>
      </c>
      <c r="B1881" s="112" t="s">
        <v>11322</v>
      </c>
    </row>
    <row r="1882" spans="1:2" ht="15">
      <c r="A1882" s="113" t="s">
        <v>6246</v>
      </c>
      <c r="B1882" s="112" t="s">
        <v>11322</v>
      </c>
    </row>
    <row r="1883" spans="1:2" ht="15">
      <c r="A1883" s="113" t="s">
        <v>6247</v>
      </c>
      <c r="B1883" s="112" t="s">
        <v>11322</v>
      </c>
    </row>
    <row r="1884" spans="1:2" ht="15">
      <c r="A1884" s="113" t="s">
        <v>6248</v>
      </c>
      <c r="B1884" s="112" t="s">
        <v>11322</v>
      </c>
    </row>
    <row r="1885" spans="1:2" ht="15">
      <c r="A1885" s="113" t="s">
        <v>6249</v>
      </c>
      <c r="B1885" s="112" t="s">
        <v>11322</v>
      </c>
    </row>
    <row r="1886" spans="1:2" ht="15">
      <c r="A1886" s="113" t="s">
        <v>6250</v>
      </c>
      <c r="B1886" s="112" t="s">
        <v>11322</v>
      </c>
    </row>
    <row r="1887" spans="1:2" ht="15">
      <c r="A1887" s="113" t="s">
        <v>6251</v>
      </c>
      <c r="B1887" s="112" t="s">
        <v>11322</v>
      </c>
    </row>
    <row r="1888" spans="1:2" ht="15">
      <c r="A1888" s="113" t="s">
        <v>6252</v>
      </c>
      <c r="B1888" s="112" t="s">
        <v>11322</v>
      </c>
    </row>
    <row r="1889" spans="1:2" ht="15">
      <c r="A1889" s="113" t="s">
        <v>6253</v>
      </c>
      <c r="B1889" s="112" t="s">
        <v>11322</v>
      </c>
    </row>
    <row r="1890" spans="1:2" ht="15">
      <c r="A1890" s="113" t="s">
        <v>6254</v>
      </c>
      <c r="B1890" s="112" t="s">
        <v>11322</v>
      </c>
    </row>
    <row r="1891" spans="1:2" ht="15">
      <c r="A1891" s="113" t="s">
        <v>6255</v>
      </c>
      <c r="B1891" s="112" t="s">
        <v>11322</v>
      </c>
    </row>
    <row r="1892" spans="1:2" ht="15">
      <c r="A1892" s="113" t="s">
        <v>6256</v>
      </c>
      <c r="B1892" s="112" t="s">
        <v>11322</v>
      </c>
    </row>
    <row r="1893" spans="1:2" ht="15">
      <c r="A1893" s="113" t="s">
        <v>6257</v>
      </c>
      <c r="B1893" s="112" t="s">
        <v>11322</v>
      </c>
    </row>
    <row r="1894" spans="1:2" ht="15">
      <c r="A1894" s="113" t="s">
        <v>6258</v>
      </c>
      <c r="B1894" s="112" t="s">
        <v>11322</v>
      </c>
    </row>
    <row r="1895" spans="1:2" ht="15">
      <c r="A1895" s="113" t="s">
        <v>6259</v>
      </c>
      <c r="B1895" s="112" t="s">
        <v>11322</v>
      </c>
    </row>
    <row r="1896" spans="1:2" ht="15">
      <c r="A1896" s="113" t="s">
        <v>6260</v>
      </c>
      <c r="B1896" s="112" t="s">
        <v>11322</v>
      </c>
    </row>
    <row r="1897" spans="1:2" ht="15">
      <c r="A1897" s="113" t="s">
        <v>6261</v>
      </c>
      <c r="B1897" s="112" t="s">
        <v>11322</v>
      </c>
    </row>
    <row r="1898" spans="1:2" ht="15">
      <c r="A1898" s="113" t="s">
        <v>6262</v>
      </c>
      <c r="B1898" s="112" t="s">
        <v>11322</v>
      </c>
    </row>
    <row r="1899" spans="1:2" ht="15">
      <c r="A1899" s="113" t="s">
        <v>6263</v>
      </c>
      <c r="B1899" s="112" t="s">
        <v>11322</v>
      </c>
    </row>
    <row r="1900" spans="1:2" ht="15">
      <c r="A1900" s="113" t="s">
        <v>6264</v>
      </c>
      <c r="B1900" s="112" t="s">
        <v>11322</v>
      </c>
    </row>
    <row r="1901" spans="1:2" ht="15">
      <c r="A1901" s="113" t="s">
        <v>6265</v>
      </c>
      <c r="B1901" s="112" t="s">
        <v>11322</v>
      </c>
    </row>
    <row r="1902" spans="1:2" ht="15">
      <c r="A1902" s="113" t="s">
        <v>6266</v>
      </c>
      <c r="B1902" s="112" t="s">
        <v>11322</v>
      </c>
    </row>
    <row r="1903" spans="1:2" ht="15">
      <c r="A1903" s="113" t="s">
        <v>6267</v>
      </c>
      <c r="B1903" s="112" t="s">
        <v>11322</v>
      </c>
    </row>
    <row r="1904" spans="1:2" ht="15">
      <c r="A1904" s="113" t="s">
        <v>6268</v>
      </c>
      <c r="B1904" s="112" t="s">
        <v>11322</v>
      </c>
    </row>
    <row r="1905" spans="1:2" ht="15">
      <c r="A1905" s="113" t="s">
        <v>6269</v>
      </c>
      <c r="B1905" s="112" t="s">
        <v>11322</v>
      </c>
    </row>
    <row r="1906" spans="1:2" ht="15">
      <c r="A1906" s="113" t="s">
        <v>6270</v>
      </c>
      <c r="B1906" s="112" t="s">
        <v>11322</v>
      </c>
    </row>
    <row r="1907" spans="1:2" ht="15">
      <c r="A1907" s="113" t="s">
        <v>6271</v>
      </c>
      <c r="B1907" s="112" t="s">
        <v>11322</v>
      </c>
    </row>
    <row r="1908" spans="1:2" ht="15">
      <c r="A1908" s="113" t="s">
        <v>6272</v>
      </c>
      <c r="B1908" s="112" t="s">
        <v>11322</v>
      </c>
    </row>
    <row r="1909" spans="1:2" ht="15">
      <c r="A1909" s="113" t="s">
        <v>6273</v>
      </c>
      <c r="B1909" s="112" t="s">
        <v>11322</v>
      </c>
    </row>
    <row r="1910" spans="1:2" ht="15">
      <c r="A1910" s="113" t="s">
        <v>6274</v>
      </c>
      <c r="B1910" s="112" t="s">
        <v>11322</v>
      </c>
    </row>
    <row r="1911" spans="1:2" ht="15">
      <c r="A1911" s="113" t="s">
        <v>6275</v>
      </c>
      <c r="B1911" s="112" t="s">
        <v>11322</v>
      </c>
    </row>
    <row r="1912" spans="1:2" ht="15">
      <c r="A1912" s="113" t="s">
        <v>6276</v>
      </c>
      <c r="B1912" s="112" t="s">
        <v>11322</v>
      </c>
    </row>
    <row r="1913" spans="1:2" ht="15">
      <c r="A1913" s="113" t="s">
        <v>6277</v>
      </c>
      <c r="B1913" s="112" t="s">
        <v>11322</v>
      </c>
    </row>
    <row r="1914" spans="1:2" ht="15">
      <c r="A1914" s="113" t="s">
        <v>6278</v>
      </c>
      <c r="B1914" s="112" t="s">
        <v>11322</v>
      </c>
    </row>
    <row r="1915" spans="1:2" ht="15">
      <c r="A1915" s="113" t="s">
        <v>6279</v>
      </c>
      <c r="B1915" s="112" t="s">
        <v>11322</v>
      </c>
    </row>
    <row r="1916" spans="1:2" ht="15">
      <c r="A1916" s="113" t="s">
        <v>6280</v>
      </c>
      <c r="B1916" s="112" t="s">
        <v>11322</v>
      </c>
    </row>
    <row r="1917" spans="1:2" ht="15">
      <c r="A1917" s="113" t="s">
        <v>6281</v>
      </c>
      <c r="B1917" s="112" t="s">
        <v>11322</v>
      </c>
    </row>
    <row r="1918" spans="1:2" ht="15">
      <c r="A1918" s="113" t="s">
        <v>3794</v>
      </c>
      <c r="B1918" s="112" t="s">
        <v>11322</v>
      </c>
    </row>
    <row r="1919" spans="1:2" ht="15">
      <c r="A1919" s="113" t="s">
        <v>6282</v>
      </c>
      <c r="B1919" s="112" t="s">
        <v>11322</v>
      </c>
    </row>
    <row r="1920" spans="1:2" ht="15">
      <c r="A1920" s="113" t="s">
        <v>6283</v>
      </c>
      <c r="B1920" s="112" t="s">
        <v>11322</v>
      </c>
    </row>
    <row r="1921" spans="1:2" ht="15">
      <c r="A1921" s="113" t="s">
        <v>6284</v>
      </c>
      <c r="B1921" s="112" t="s">
        <v>11322</v>
      </c>
    </row>
    <row r="1922" spans="1:2" ht="15">
      <c r="A1922" s="113" t="s">
        <v>6285</v>
      </c>
      <c r="B1922" s="112" t="s">
        <v>11322</v>
      </c>
    </row>
    <row r="1923" spans="1:2" ht="15">
      <c r="A1923" s="113" t="s">
        <v>6286</v>
      </c>
      <c r="B1923" s="112" t="s">
        <v>11322</v>
      </c>
    </row>
    <row r="1924" spans="1:2" ht="15">
      <c r="A1924" s="113" t="s">
        <v>6287</v>
      </c>
      <c r="B1924" s="112" t="s">
        <v>11322</v>
      </c>
    </row>
    <row r="1925" spans="1:2" ht="15">
      <c r="A1925" s="113" t="s">
        <v>6288</v>
      </c>
      <c r="B1925" s="112" t="s">
        <v>11322</v>
      </c>
    </row>
    <row r="1926" spans="1:2" ht="15">
      <c r="A1926" s="113" t="s">
        <v>6289</v>
      </c>
      <c r="B1926" s="112" t="s">
        <v>11322</v>
      </c>
    </row>
    <row r="1927" spans="1:2" ht="15">
      <c r="A1927" s="113" t="s">
        <v>6290</v>
      </c>
      <c r="B1927" s="112" t="s">
        <v>11322</v>
      </c>
    </row>
    <row r="1928" spans="1:2" ht="15">
      <c r="A1928" s="113" t="s">
        <v>6291</v>
      </c>
      <c r="B1928" s="112" t="s">
        <v>11322</v>
      </c>
    </row>
    <row r="1929" spans="1:2" ht="15">
      <c r="A1929" s="113" t="s">
        <v>6292</v>
      </c>
      <c r="B1929" s="112" t="s">
        <v>11322</v>
      </c>
    </row>
    <row r="1930" spans="1:2" ht="15">
      <c r="A1930" s="113" t="s">
        <v>6293</v>
      </c>
      <c r="B1930" s="112" t="s">
        <v>11322</v>
      </c>
    </row>
    <row r="1931" spans="1:2" ht="15">
      <c r="A1931" s="113" t="s">
        <v>6294</v>
      </c>
      <c r="B1931" s="112" t="s">
        <v>11322</v>
      </c>
    </row>
    <row r="1932" spans="1:2" ht="15">
      <c r="A1932" s="113" t="s">
        <v>6295</v>
      </c>
      <c r="B1932" s="112" t="s">
        <v>11322</v>
      </c>
    </row>
    <row r="1933" spans="1:2" ht="15">
      <c r="A1933" s="113" t="s">
        <v>6296</v>
      </c>
      <c r="B1933" s="112" t="s">
        <v>11322</v>
      </c>
    </row>
    <row r="1934" spans="1:2" ht="15">
      <c r="A1934" s="113" t="s">
        <v>6297</v>
      </c>
      <c r="B1934" s="112" t="s">
        <v>11322</v>
      </c>
    </row>
    <row r="1935" spans="1:2" ht="15">
      <c r="A1935" s="113" t="s">
        <v>6298</v>
      </c>
      <c r="B1935" s="112" t="s">
        <v>11322</v>
      </c>
    </row>
    <row r="1936" spans="1:2" ht="15">
      <c r="A1936" s="113" t="s">
        <v>6299</v>
      </c>
      <c r="B1936" s="112" t="s">
        <v>11322</v>
      </c>
    </row>
    <row r="1937" spans="1:2" ht="15">
      <c r="A1937" s="113" t="s">
        <v>6300</v>
      </c>
      <c r="B1937" s="112" t="s">
        <v>11322</v>
      </c>
    </row>
    <row r="1938" spans="1:2" ht="15">
      <c r="A1938" s="113" t="s">
        <v>6301</v>
      </c>
      <c r="B1938" s="112" t="s">
        <v>11322</v>
      </c>
    </row>
    <row r="1939" spans="1:2" ht="15">
      <c r="A1939" s="113" t="s">
        <v>6302</v>
      </c>
      <c r="B1939" s="112" t="s">
        <v>11322</v>
      </c>
    </row>
    <row r="1940" spans="1:2" ht="15">
      <c r="A1940" s="113" t="s">
        <v>6303</v>
      </c>
      <c r="B1940" s="112" t="s">
        <v>11322</v>
      </c>
    </row>
    <row r="1941" spans="1:2" ht="15">
      <c r="A1941" s="113" t="s">
        <v>6304</v>
      </c>
      <c r="B1941" s="112" t="s">
        <v>11322</v>
      </c>
    </row>
    <row r="1942" spans="1:2" ht="15">
      <c r="A1942" s="113" t="s">
        <v>6305</v>
      </c>
      <c r="B1942" s="112" t="s">
        <v>11322</v>
      </c>
    </row>
    <row r="1943" spans="1:2" ht="15">
      <c r="A1943" s="113" t="s">
        <v>6306</v>
      </c>
      <c r="B1943" s="112" t="s">
        <v>11322</v>
      </c>
    </row>
    <row r="1944" spans="1:2" ht="15">
      <c r="A1944" s="113" t="s">
        <v>6307</v>
      </c>
      <c r="B1944" s="112" t="s">
        <v>11322</v>
      </c>
    </row>
    <row r="1945" spans="1:2" ht="15">
      <c r="A1945" s="113" t="s">
        <v>6308</v>
      </c>
      <c r="B1945" s="112" t="s">
        <v>11322</v>
      </c>
    </row>
    <row r="1946" spans="1:2" ht="15">
      <c r="A1946" s="113" t="s">
        <v>6309</v>
      </c>
      <c r="B1946" s="112" t="s">
        <v>11322</v>
      </c>
    </row>
    <row r="1947" spans="1:2" ht="15">
      <c r="A1947" s="113" t="s">
        <v>6310</v>
      </c>
      <c r="B1947" s="112" t="s">
        <v>11322</v>
      </c>
    </row>
    <row r="1948" spans="1:2" ht="15">
      <c r="A1948" s="113" t="s">
        <v>6311</v>
      </c>
      <c r="B1948" s="112" t="s">
        <v>11322</v>
      </c>
    </row>
    <row r="1949" spans="1:2" ht="15">
      <c r="A1949" s="113" t="s">
        <v>6312</v>
      </c>
      <c r="B1949" s="112" t="s">
        <v>11322</v>
      </c>
    </row>
    <row r="1950" spans="1:2" ht="15">
      <c r="A1950" s="113" t="s">
        <v>6313</v>
      </c>
      <c r="B1950" s="112" t="s">
        <v>11322</v>
      </c>
    </row>
    <row r="1951" spans="1:2" ht="15">
      <c r="A1951" s="113" t="s">
        <v>6314</v>
      </c>
      <c r="B1951" s="112" t="s">
        <v>11322</v>
      </c>
    </row>
    <row r="1952" spans="1:2" ht="15">
      <c r="A1952" s="113" t="s">
        <v>6315</v>
      </c>
      <c r="B1952" s="112" t="s">
        <v>11322</v>
      </c>
    </row>
    <row r="1953" spans="1:2" ht="15">
      <c r="A1953" s="113" t="s">
        <v>6316</v>
      </c>
      <c r="B1953" s="112" t="s">
        <v>11322</v>
      </c>
    </row>
    <row r="1954" spans="1:2" ht="15">
      <c r="A1954" s="113" t="s">
        <v>6317</v>
      </c>
      <c r="B1954" s="112" t="s">
        <v>11322</v>
      </c>
    </row>
    <row r="1955" spans="1:2" ht="15">
      <c r="A1955" s="113" t="s">
        <v>6318</v>
      </c>
      <c r="B1955" s="112" t="s">
        <v>11322</v>
      </c>
    </row>
    <row r="1956" spans="1:2" ht="15">
      <c r="A1956" s="113" t="s">
        <v>6319</v>
      </c>
      <c r="B1956" s="112" t="s">
        <v>11322</v>
      </c>
    </row>
    <row r="1957" spans="1:2" ht="15">
      <c r="A1957" s="113" t="s">
        <v>6320</v>
      </c>
      <c r="B1957" s="112" t="s">
        <v>11322</v>
      </c>
    </row>
    <row r="1958" spans="1:2" ht="15">
      <c r="A1958" s="113" t="s">
        <v>6321</v>
      </c>
      <c r="B1958" s="112" t="s">
        <v>11322</v>
      </c>
    </row>
    <row r="1959" spans="1:2" ht="15">
      <c r="A1959" s="113" t="s">
        <v>6322</v>
      </c>
      <c r="B1959" s="112" t="s">
        <v>11322</v>
      </c>
    </row>
    <row r="1960" spans="1:2" ht="15">
      <c r="A1960" s="113" t="s">
        <v>6323</v>
      </c>
      <c r="B1960" s="112" t="s">
        <v>11322</v>
      </c>
    </row>
    <row r="1961" spans="1:2" ht="15">
      <c r="A1961" s="113" t="s">
        <v>6324</v>
      </c>
      <c r="B1961" s="112" t="s">
        <v>11322</v>
      </c>
    </row>
    <row r="1962" spans="1:2" ht="15">
      <c r="A1962" s="113" t="s">
        <v>6325</v>
      </c>
      <c r="B1962" s="112" t="s">
        <v>11322</v>
      </c>
    </row>
    <row r="1963" spans="1:2" ht="15">
      <c r="A1963" s="113" t="s">
        <v>6326</v>
      </c>
      <c r="B1963" s="112" t="s">
        <v>11322</v>
      </c>
    </row>
    <row r="1964" spans="1:2" ht="15">
      <c r="A1964" s="113" t="s">
        <v>6327</v>
      </c>
      <c r="B1964" s="112" t="s">
        <v>11322</v>
      </c>
    </row>
    <row r="1965" spans="1:2" ht="15">
      <c r="A1965" s="113" t="s">
        <v>6328</v>
      </c>
      <c r="B1965" s="112" t="s">
        <v>11322</v>
      </c>
    </row>
    <row r="1966" spans="1:2" ht="15">
      <c r="A1966" s="113" t="s">
        <v>6329</v>
      </c>
      <c r="B1966" s="112" t="s">
        <v>11322</v>
      </c>
    </row>
    <row r="1967" spans="1:2" ht="15">
      <c r="A1967" s="113" t="s">
        <v>6330</v>
      </c>
      <c r="B1967" s="112" t="s">
        <v>11322</v>
      </c>
    </row>
    <row r="1968" spans="1:2" ht="15">
      <c r="A1968" s="113" t="s">
        <v>6331</v>
      </c>
      <c r="B1968" s="112" t="s">
        <v>11322</v>
      </c>
    </row>
    <row r="1969" spans="1:2" ht="15">
      <c r="A1969" s="113" t="s">
        <v>6332</v>
      </c>
      <c r="B1969" s="112" t="s">
        <v>11322</v>
      </c>
    </row>
    <row r="1970" spans="1:2" ht="15">
      <c r="A1970" s="113" t="s">
        <v>6333</v>
      </c>
      <c r="B1970" s="112" t="s">
        <v>11322</v>
      </c>
    </row>
    <row r="1971" spans="1:2" ht="15">
      <c r="A1971" s="113" t="s">
        <v>6334</v>
      </c>
      <c r="B1971" s="112" t="s">
        <v>11322</v>
      </c>
    </row>
    <row r="1972" spans="1:2" ht="15">
      <c r="A1972" s="113" t="s">
        <v>6335</v>
      </c>
      <c r="B1972" s="112" t="s">
        <v>11322</v>
      </c>
    </row>
    <row r="1973" spans="1:2" ht="15">
      <c r="A1973" s="113" t="s">
        <v>6336</v>
      </c>
      <c r="B1973" s="112" t="s">
        <v>11322</v>
      </c>
    </row>
    <row r="1974" spans="1:2" ht="15">
      <c r="A1974" s="113" t="s">
        <v>6337</v>
      </c>
      <c r="B1974" s="112" t="s">
        <v>11322</v>
      </c>
    </row>
    <row r="1975" spans="1:2" ht="15">
      <c r="A1975" s="113" t="s">
        <v>6338</v>
      </c>
      <c r="B1975" s="112" t="s">
        <v>11322</v>
      </c>
    </row>
    <row r="1976" spans="1:2" ht="15">
      <c r="A1976" s="113" t="s">
        <v>6339</v>
      </c>
      <c r="B1976" s="112" t="s">
        <v>11322</v>
      </c>
    </row>
    <row r="1977" spans="1:2" ht="15">
      <c r="A1977" s="113" t="s">
        <v>6340</v>
      </c>
      <c r="B1977" s="112" t="s">
        <v>11322</v>
      </c>
    </row>
    <row r="1978" spans="1:2" ht="15">
      <c r="A1978" s="113" t="s">
        <v>6341</v>
      </c>
      <c r="B1978" s="112" t="s">
        <v>11322</v>
      </c>
    </row>
    <row r="1979" spans="1:2" ht="15">
      <c r="A1979" s="113" t="s">
        <v>6342</v>
      </c>
      <c r="B1979" s="112" t="s">
        <v>11322</v>
      </c>
    </row>
    <row r="1980" spans="1:2" ht="15">
      <c r="A1980" s="113" t="s">
        <v>6343</v>
      </c>
      <c r="B1980" s="112" t="s">
        <v>11322</v>
      </c>
    </row>
    <row r="1981" spans="1:2" ht="15">
      <c r="A1981" s="113" t="s">
        <v>6344</v>
      </c>
      <c r="B1981" s="112" t="s">
        <v>11322</v>
      </c>
    </row>
    <row r="1982" spans="1:2" ht="15">
      <c r="A1982" s="113" t="s">
        <v>6345</v>
      </c>
      <c r="B1982" s="112" t="s">
        <v>11322</v>
      </c>
    </row>
    <row r="1983" spans="1:2" ht="15">
      <c r="A1983" s="113" t="s">
        <v>6346</v>
      </c>
      <c r="B1983" s="112" t="s">
        <v>11322</v>
      </c>
    </row>
    <row r="1984" spans="1:2" ht="15">
      <c r="A1984" s="113" t="s">
        <v>6347</v>
      </c>
      <c r="B1984" s="112" t="s">
        <v>11322</v>
      </c>
    </row>
    <row r="1985" spans="1:2" ht="15">
      <c r="A1985" s="113" t="s">
        <v>6348</v>
      </c>
      <c r="B1985" s="112" t="s">
        <v>11322</v>
      </c>
    </row>
    <row r="1986" spans="1:2" ht="15">
      <c r="A1986" s="113" t="s">
        <v>6349</v>
      </c>
      <c r="B1986" s="112" t="s">
        <v>11322</v>
      </c>
    </row>
    <row r="1987" spans="1:2" ht="15">
      <c r="A1987" s="113" t="s">
        <v>6350</v>
      </c>
      <c r="B1987" s="112" t="s">
        <v>11322</v>
      </c>
    </row>
    <row r="1988" spans="1:2" ht="15">
      <c r="A1988" s="113" t="s">
        <v>6351</v>
      </c>
      <c r="B1988" s="112" t="s">
        <v>11322</v>
      </c>
    </row>
    <row r="1989" spans="1:2" ht="15">
      <c r="A1989" s="113" t="s">
        <v>6352</v>
      </c>
      <c r="B1989" s="112" t="s">
        <v>11322</v>
      </c>
    </row>
    <row r="1990" spans="1:2" ht="15">
      <c r="A1990" s="113" t="s">
        <v>6353</v>
      </c>
      <c r="B1990" s="112" t="s">
        <v>11322</v>
      </c>
    </row>
    <row r="1991" spans="1:2" ht="15">
      <c r="A1991" s="113" t="s">
        <v>6354</v>
      </c>
      <c r="B1991" s="112" t="s">
        <v>11322</v>
      </c>
    </row>
    <row r="1992" spans="1:2" ht="15">
      <c r="A1992" s="113" t="s">
        <v>6355</v>
      </c>
      <c r="B1992" s="112" t="s">
        <v>11322</v>
      </c>
    </row>
    <row r="1993" spans="1:2" ht="15">
      <c r="A1993" s="113" t="s">
        <v>6356</v>
      </c>
      <c r="B1993" s="112" t="s">
        <v>11322</v>
      </c>
    </row>
    <row r="1994" spans="1:2" ht="15">
      <c r="A1994" s="113" t="s">
        <v>6357</v>
      </c>
      <c r="B1994" s="112" t="s">
        <v>11322</v>
      </c>
    </row>
    <row r="1995" spans="1:2" ht="15">
      <c r="A1995" s="113" t="s">
        <v>6358</v>
      </c>
      <c r="B1995" s="112" t="s">
        <v>11322</v>
      </c>
    </row>
    <row r="1996" spans="1:2" ht="15">
      <c r="A1996" s="113" t="s">
        <v>6359</v>
      </c>
      <c r="B1996" s="112" t="s">
        <v>11322</v>
      </c>
    </row>
    <row r="1997" spans="1:2" ht="15">
      <c r="A1997" s="113" t="s">
        <v>6360</v>
      </c>
      <c r="B1997" s="112" t="s">
        <v>11322</v>
      </c>
    </row>
    <row r="1998" spans="1:2" ht="15">
      <c r="A1998" s="113" t="s">
        <v>6361</v>
      </c>
      <c r="B1998" s="112" t="s">
        <v>11322</v>
      </c>
    </row>
    <row r="1999" spans="1:2" ht="15">
      <c r="A1999" s="113" t="s">
        <v>6362</v>
      </c>
      <c r="B1999" s="112" t="s">
        <v>11322</v>
      </c>
    </row>
    <row r="2000" spans="1:2" ht="15">
      <c r="A2000" s="113" t="s">
        <v>6363</v>
      </c>
      <c r="B2000" s="112" t="s">
        <v>11322</v>
      </c>
    </row>
    <row r="2001" spans="1:2" ht="15">
      <c r="A2001" s="113" t="s">
        <v>6364</v>
      </c>
      <c r="B2001" s="112" t="s">
        <v>11322</v>
      </c>
    </row>
    <row r="2002" spans="1:2" ht="15">
      <c r="A2002" s="113" t="s">
        <v>6365</v>
      </c>
      <c r="B2002" s="112" t="s">
        <v>11322</v>
      </c>
    </row>
    <row r="2003" spans="1:2" ht="15">
      <c r="A2003" s="113" t="s">
        <v>6366</v>
      </c>
      <c r="B2003" s="112" t="s">
        <v>11322</v>
      </c>
    </row>
    <row r="2004" spans="1:2" ht="15">
      <c r="A2004" s="113" t="s">
        <v>6367</v>
      </c>
      <c r="B2004" s="112" t="s">
        <v>11322</v>
      </c>
    </row>
    <row r="2005" spans="1:2" ht="15">
      <c r="A2005" s="113" t="s">
        <v>6368</v>
      </c>
      <c r="B2005" s="112" t="s">
        <v>11322</v>
      </c>
    </row>
    <row r="2006" spans="1:2" ht="15">
      <c r="A2006" s="113" t="s">
        <v>6369</v>
      </c>
      <c r="B2006" s="112" t="s">
        <v>11322</v>
      </c>
    </row>
    <row r="2007" spans="1:2" ht="15">
      <c r="A2007" s="113" t="s">
        <v>6370</v>
      </c>
      <c r="B2007" s="112" t="s">
        <v>11322</v>
      </c>
    </row>
    <row r="2008" spans="1:2" ht="15">
      <c r="A2008" s="113" t="s">
        <v>6371</v>
      </c>
      <c r="B2008" s="112" t="s">
        <v>11322</v>
      </c>
    </row>
    <row r="2009" spans="1:2" ht="15">
      <c r="A2009" s="113" t="s">
        <v>6372</v>
      </c>
      <c r="B2009" s="112" t="s">
        <v>11322</v>
      </c>
    </row>
    <row r="2010" spans="1:2" ht="15">
      <c r="A2010" s="113" t="s">
        <v>6373</v>
      </c>
      <c r="B2010" s="112" t="s">
        <v>11322</v>
      </c>
    </row>
    <row r="2011" spans="1:2" ht="15">
      <c r="A2011" s="113" t="s">
        <v>6374</v>
      </c>
      <c r="B2011" s="112" t="s">
        <v>11322</v>
      </c>
    </row>
    <row r="2012" spans="1:2" ht="15">
      <c r="A2012" s="113" t="s">
        <v>6375</v>
      </c>
      <c r="B2012" s="112" t="s">
        <v>11322</v>
      </c>
    </row>
    <row r="2013" spans="1:2" ht="15">
      <c r="A2013" s="113" t="s">
        <v>6376</v>
      </c>
      <c r="B2013" s="112" t="s">
        <v>11322</v>
      </c>
    </row>
    <row r="2014" spans="1:2" ht="15">
      <c r="A2014" s="113" t="s">
        <v>6377</v>
      </c>
      <c r="B2014" s="112" t="s">
        <v>11322</v>
      </c>
    </row>
    <row r="2015" spans="1:2" ht="15">
      <c r="A2015" s="113" t="s">
        <v>6378</v>
      </c>
      <c r="B2015" s="112" t="s">
        <v>11322</v>
      </c>
    </row>
    <row r="2016" spans="1:2" ht="15">
      <c r="A2016" s="113" t="s">
        <v>6379</v>
      </c>
      <c r="B2016" s="112" t="s">
        <v>11322</v>
      </c>
    </row>
    <row r="2017" spans="1:2" ht="15">
      <c r="A2017" s="113" t="s">
        <v>6380</v>
      </c>
      <c r="B2017" s="112" t="s">
        <v>11322</v>
      </c>
    </row>
    <row r="2018" spans="1:2" ht="15">
      <c r="A2018" s="113" t="s">
        <v>6381</v>
      </c>
      <c r="B2018" s="112" t="s">
        <v>11322</v>
      </c>
    </row>
    <row r="2019" spans="1:2" ht="15">
      <c r="A2019" s="113" t="s">
        <v>6382</v>
      </c>
      <c r="B2019" s="112" t="s">
        <v>11322</v>
      </c>
    </row>
    <row r="2020" spans="1:2" ht="15">
      <c r="A2020" s="113" t="s">
        <v>6383</v>
      </c>
      <c r="B2020" s="112" t="s">
        <v>11322</v>
      </c>
    </row>
    <row r="2021" spans="1:2" ht="15">
      <c r="A2021" s="113" t="s">
        <v>6384</v>
      </c>
      <c r="B2021" s="112" t="s">
        <v>11322</v>
      </c>
    </row>
    <row r="2022" spans="1:2" ht="15">
      <c r="A2022" s="113" t="s">
        <v>6385</v>
      </c>
      <c r="B2022" s="112" t="s">
        <v>11322</v>
      </c>
    </row>
    <row r="2023" spans="1:2" ht="15">
      <c r="A2023" s="113" t="s">
        <v>6386</v>
      </c>
      <c r="B2023" s="112" t="s">
        <v>11322</v>
      </c>
    </row>
    <row r="2024" spans="1:2" ht="15">
      <c r="A2024" s="113" t="s">
        <v>6387</v>
      </c>
      <c r="B2024" s="112" t="s">
        <v>11322</v>
      </c>
    </row>
    <row r="2025" spans="1:2" ht="15">
      <c r="A2025" s="113" t="s">
        <v>6388</v>
      </c>
      <c r="B2025" s="112" t="s">
        <v>11322</v>
      </c>
    </row>
    <row r="2026" spans="1:2" ht="15">
      <c r="A2026" s="113" t="s">
        <v>6389</v>
      </c>
      <c r="B2026" s="112" t="s">
        <v>11322</v>
      </c>
    </row>
    <row r="2027" spans="1:2" ht="15">
      <c r="A2027" s="113" t="s">
        <v>6390</v>
      </c>
      <c r="B2027" s="112" t="s">
        <v>11322</v>
      </c>
    </row>
    <row r="2028" spans="1:2" ht="15">
      <c r="A2028" s="113" t="s">
        <v>6391</v>
      </c>
      <c r="B2028" s="112" t="s">
        <v>11322</v>
      </c>
    </row>
    <row r="2029" spans="1:2" ht="15">
      <c r="A2029" s="113" t="s">
        <v>6392</v>
      </c>
      <c r="B2029" s="112" t="s">
        <v>11322</v>
      </c>
    </row>
    <row r="2030" spans="1:2" ht="15">
      <c r="A2030" s="113" t="s">
        <v>6393</v>
      </c>
      <c r="B2030" s="112" t="s">
        <v>11322</v>
      </c>
    </row>
    <row r="2031" spans="1:2" ht="15">
      <c r="A2031" s="113" t="s">
        <v>6394</v>
      </c>
      <c r="B2031" s="112" t="s">
        <v>11322</v>
      </c>
    </row>
    <row r="2032" spans="1:2" ht="15">
      <c r="A2032" s="113" t="s">
        <v>6395</v>
      </c>
      <c r="B2032" s="112" t="s">
        <v>11322</v>
      </c>
    </row>
    <row r="2033" spans="1:2" ht="15">
      <c r="A2033" s="113" t="s">
        <v>6396</v>
      </c>
      <c r="B2033" s="112" t="s">
        <v>11322</v>
      </c>
    </row>
    <row r="2034" spans="1:2" ht="15">
      <c r="A2034" s="113" t="s">
        <v>6397</v>
      </c>
      <c r="B2034" s="112" t="s">
        <v>11322</v>
      </c>
    </row>
    <row r="2035" spans="1:2" ht="15">
      <c r="A2035" s="113" t="s">
        <v>6398</v>
      </c>
      <c r="B2035" s="112" t="s">
        <v>11322</v>
      </c>
    </row>
    <row r="2036" spans="1:2" ht="15">
      <c r="A2036" s="113" t="s">
        <v>6399</v>
      </c>
      <c r="B2036" s="112" t="s">
        <v>11322</v>
      </c>
    </row>
    <row r="2037" spans="1:2" ht="15">
      <c r="A2037" s="113" t="s">
        <v>6400</v>
      </c>
      <c r="B2037" s="112" t="s">
        <v>11322</v>
      </c>
    </row>
    <row r="2038" spans="1:2" ht="15">
      <c r="A2038" s="113" t="s">
        <v>6401</v>
      </c>
      <c r="B2038" s="112" t="s">
        <v>11322</v>
      </c>
    </row>
    <row r="2039" spans="1:2" ht="15">
      <c r="A2039" s="113" t="s">
        <v>6402</v>
      </c>
      <c r="B2039" s="112" t="s">
        <v>11322</v>
      </c>
    </row>
    <row r="2040" spans="1:2" ht="15">
      <c r="A2040" s="113" t="s">
        <v>6403</v>
      </c>
      <c r="B2040" s="112" t="s">
        <v>11322</v>
      </c>
    </row>
    <row r="2041" spans="1:2" ht="15">
      <c r="A2041" s="113" t="s">
        <v>6404</v>
      </c>
      <c r="B2041" s="112" t="s">
        <v>11322</v>
      </c>
    </row>
    <row r="2042" spans="1:2" ht="15">
      <c r="A2042" s="113" t="s">
        <v>6405</v>
      </c>
      <c r="B2042" s="112" t="s">
        <v>11322</v>
      </c>
    </row>
    <row r="2043" spans="1:2" ht="15">
      <c r="A2043" s="113" t="s">
        <v>6406</v>
      </c>
      <c r="B2043" s="112" t="s">
        <v>11322</v>
      </c>
    </row>
    <row r="2044" spans="1:2" ht="15">
      <c r="A2044" s="113" t="s">
        <v>6407</v>
      </c>
      <c r="B2044" s="112" t="s">
        <v>11322</v>
      </c>
    </row>
    <row r="2045" spans="1:2" ht="15">
      <c r="A2045" s="113" t="s">
        <v>6408</v>
      </c>
      <c r="B2045" s="112" t="s">
        <v>11322</v>
      </c>
    </row>
    <row r="2046" spans="1:2" ht="15">
      <c r="A2046" s="113" t="s">
        <v>6409</v>
      </c>
      <c r="B2046" s="112" t="s">
        <v>11322</v>
      </c>
    </row>
    <row r="2047" spans="1:2" ht="15">
      <c r="A2047" s="113" t="s">
        <v>6410</v>
      </c>
      <c r="B2047" s="112" t="s">
        <v>11322</v>
      </c>
    </row>
    <row r="2048" spans="1:2" ht="15">
      <c r="A2048" s="113" t="s">
        <v>6411</v>
      </c>
      <c r="B2048" s="112" t="s">
        <v>11322</v>
      </c>
    </row>
    <row r="2049" spans="1:2" ht="15">
      <c r="A2049" s="113" t="s">
        <v>6412</v>
      </c>
      <c r="B2049" s="112" t="s">
        <v>11322</v>
      </c>
    </row>
    <row r="2050" spans="1:2" ht="15">
      <c r="A2050" s="113" t="s">
        <v>6413</v>
      </c>
      <c r="B2050" s="112" t="s">
        <v>11322</v>
      </c>
    </row>
    <row r="2051" spans="1:2" ht="15">
      <c r="A2051" s="113" t="s">
        <v>6414</v>
      </c>
      <c r="B2051" s="112" t="s">
        <v>11322</v>
      </c>
    </row>
    <row r="2052" spans="1:2" ht="15">
      <c r="A2052" s="113" t="s">
        <v>6415</v>
      </c>
      <c r="B2052" s="112" t="s">
        <v>11322</v>
      </c>
    </row>
    <row r="2053" spans="1:2" ht="15">
      <c r="A2053" s="113" t="s">
        <v>6416</v>
      </c>
      <c r="B2053" s="112" t="s">
        <v>11322</v>
      </c>
    </row>
    <row r="2054" spans="1:2" ht="15">
      <c r="A2054" s="113" t="s">
        <v>6417</v>
      </c>
      <c r="B2054" s="112" t="s">
        <v>11322</v>
      </c>
    </row>
    <row r="2055" spans="1:2" ht="15">
      <c r="A2055" s="113" t="s">
        <v>6418</v>
      </c>
      <c r="B2055" s="112" t="s">
        <v>11322</v>
      </c>
    </row>
    <row r="2056" spans="1:2" ht="15">
      <c r="A2056" s="113" t="s">
        <v>6419</v>
      </c>
      <c r="B2056" s="112" t="s">
        <v>11322</v>
      </c>
    </row>
    <row r="2057" spans="1:2" ht="15">
      <c r="A2057" s="113" t="s">
        <v>6420</v>
      </c>
      <c r="B2057" s="112" t="s">
        <v>11322</v>
      </c>
    </row>
    <row r="2058" spans="1:2" ht="15">
      <c r="A2058" s="113" t="s">
        <v>6421</v>
      </c>
      <c r="B2058" s="112" t="s">
        <v>11322</v>
      </c>
    </row>
    <row r="2059" spans="1:2" ht="15">
      <c r="A2059" s="113" t="s">
        <v>6422</v>
      </c>
      <c r="B2059" s="112" t="s">
        <v>11322</v>
      </c>
    </row>
    <row r="2060" spans="1:2" ht="15">
      <c r="A2060" s="113" t="s">
        <v>6423</v>
      </c>
      <c r="B2060" s="112" t="s">
        <v>11322</v>
      </c>
    </row>
    <row r="2061" spans="1:2" ht="15">
      <c r="A2061" s="113" t="s">
        <v>6424</v>
      </c>
      <c r="B2061" s="112" t="s">
        <v>11322</v>
      </c>
    </row>
    <row r="2062" spans="1:2" ht="15">
      <c r="A2062" s="113" t="s">
        <v>6425</v>
      </c>
      <c r="B2062" s="112" t="s">
        <v>11322</v>
      </c>
    </row>
    <row r="2063" spans="1:2" ht="15">
      <c r="A2063" s="113" t="s">
        <v>6426</v>
      </c>
      <c r="B2063" s="112" t="s">
        <v>11322</v>
      </c>
    </row>
    <row r="2064" spans="1:2" ht="15">
      <c r="A2064" s="113" t="s">
        <v>6427</v>
      </c>
      <c r="B2064" s="112" t="s">
        <v>11322</v>
      </c>
    </row>
    <row r="2065" spans="1:2" ht="15">
      <c r="A2065" s="113" t="s">
        <v>6428</v>
      </c>
      <c r="B2065" s="112" t="s">
        <v>11322</v>
      </c>
    </row>
    <row r="2066" spans="1:2" ht="15">
      <c r="A2066" s="113" t="s">
        <v>6429</v>
      </c>
      <c r="B2066" s="112" t="s">
        <v>11322</v>
      </c>
    </row>
    <row r="2067" spans="1:2" ht="15">
      <c r="A2067" s="113" t="s">
        <v>6430</v>
      </c>
      <c r="B2067" s="112" t="s">
        <v>11322</v>
      </c>
    </row>
    <row r="2068" spans="1:2" ht="15">
      <c r="A2068" s="113" t="s">
        <v>6431</v>
      </c>
      <c r="B2068" s="112" t="s">
        <v>11322</v>
      </c>
    </row>
    <row r="2069" spans="1:2" ht="15">
      <c r="A2069" s="113" t="s">
        <v>6432</v>
      </c>
      <c r="B2069" s="112" t="s">
        <v>11322</v>
      </c>
    </row>
    <row r="2070" spans="1:2" ht="15">
      <c r="A2070" s="113" t="s">
        <v>6433</v>
      </c>
      <c r="B2070" s="112" t="s">
        <v>11322</v>
      </c>
    </row>
    <row r="2071" spans="1:2" ht="15">
      <c r="A2071" s="113" t="s">
        <v>6434</v>
      </c>
      <c r="B2071" s="112" t="s">
        <v>11322</v>
      </c>
    </row>
    <row r="2072" spans="1:2" ht="15">
      <c r="A2072" s="113" t="s">
        <v>6435</v>
      </c>
      <c r="B2072" s="112" t="s">
        <v>11322</v>
      </c>
    </row>
    <row r="2073" spans="1:2" ht="15">
      <c r="A2073" s="113" t="s">
        <v>6436</v>
      </c>
      <c r="B2073" s="112" t="s">
        <v>11322</v>
      </c>
    </row>
    <row r="2074" spans="1:2" ht="15">
      <c r="A2074" s="113" t="s">
        <v>6437</v>
      </c>
      <c r="B2074" s="112" t="s">
        <v>11322</v>
      </c>
    </row>
    <row r="2075" spans="1:2" ht="15">
      <c r="A2075" s="113" t="s">
        <v>6438</v>
      </c>
      <c r="B2075" s="112" t="s">
        <v>11322</v>
      </c>
    </row>
    <row r="2076" spans="1:2" ht="15">
      <c r="A2076" s="113" t="s">
        <v>6439</v>
      </c>
      <c r="B2076" s="112" t="s">
        <v>11322</v>
      </c>
    </row>
    <row r="2077" spans="1:2" ht="15">
      <c r="A2077" s="113" t="s">
        <v>6440</v>
      </c>
      <c r="B2077" s="112" t="s">
        <v>11322</v>
      </c>
    </row>
    <row r="2078" spans="1:2" ht="15">
      <c r="A2078" s="113" t="s">
        <v>6441</v>
      </c>
      <c r="B2078" s="112" t="s">
        <v>11322</v>
      </c>
    </row>
    <row r="2079" spans="1:2" ht="15">
      <c r="A2079" s="113" t="s">
        <v>6442</v>
      </c>
      <c r="B2079" s="112" t="s">
        <v>11322</v>
      </c>
    </row>
    <row r="2080" spans="1:2" ht="15">
      <c r="A2080" s="113" t="s">
        <v>6443</v>
      </c>
      <c r="B2080" s="112" t="s">
        <v>11322</v>
      </c>
    </row>
    <row r="2081" spans="1:2" ht="15">
      <c r="A2081" s="113" t="s">
        <v>6444</v>
      </c>
      <c r="B2081" s="112" t="s">
        <v>11322</v>
      </c>
    </row>
    <row r="2082" spans="1:2" ht="15">
      <c r="A2082" s="113" t="s">
        <v>6445</v>
      </c>
      <c r="B2082" s="112" t="s">
        <v>11322</v>
      </c>
    </row>
    <row r="2083" spans="1:2" ht="15">
      <c r="A2083" s="113" t="s">
        <v>6446</v>
      </c>
      <c r="B2083" s="112" t="s">
        <v>11322</v>
      </c>
    </row>
    <row r="2084" spans="1:2" ht="15">
      <c r="A2084" s="113" t="s">
        <v>6447</v>
      </c>
      <c r="B2084" s="112" t="s">
        <v>11322</v>
      </c>
    </row>
    <row r="2085" spans="1:2" ht="15">
      <c r="A2085" s="113" t="s">
        <v>6448</v>
      </c>
      <c r="B2085" s="112" t="s">
        <v>11322</v>
      </c>
    </row>
    <row r="2086" spans="1:2" ht="15">
      <c r="A2086" s="113" t="s">
        <v>6449</v>
      </c>
      <c r="B2086" s="112" t="s">
        <v>11322</v>
      </c>
    </row>
    <row r="2087" spans="1:2" ht="15">
      <c r="A2087" s="113" t="s">
        <v>6450</v>
      </c>
      <c r="B2087" s="112" t="s">
        <v>11322</v>
      </c>
    </row>
    <row r="2088" spans="1:2" ht="15">
      <c r="A2088" s="113" t="s">
        <v>6451</v>
      </c>
      <c r="B2088" s="112" t="s">
        <v>11322</v>
      </c>
    </row>
    <row r="2089" spans="1:2" ht="15">
      <c r="A2089" s="113" t="s">
        <v>6452</v>
      </c>
      <c r="B2089" s="112" t="s">
        <v>11322</v>
      </c>
    </row>
    <row r="2090" spans="1:2" ht="15">
      <c r="A2090" s="113" t="s">
        <v>6453</v>
      </c>
      <c r="B2090" s="112" t="s">
        <v>11322</v>
      </c>
    </row>
    <row r="2091" spans="1:2" ht="15">
      <c r="A2091" s="113" t="s">
        <v>6454</v>
      </c>
      <c r="B2091" s="112" t="s">
        <v>11322</v>
      </c>
    </row>
    <row r="2092" spans="1:2" ht="15">
      <c r="A2092" s="113" t="s">
        <v>6455</v>
      </c>
      <c r="B2092" s="112" t="s">
        <v>11322</v>
      </c>
    </row>
    <row r="2093" spans="1:2" ht="15">
      <c r="A2093" s="113" t="s">
        <v>6456</v>
      </c>
      <c r="B2093" s="112" t="s">
        <v>11322</v>
      </c>
    </row>
    <row r="2094" spans="1:2" ht="15">
      <c r="A2094" s="113" t="s">
        <v>6457</v>
      </c>
      <c r="B2094" s="112" t="s">
        <v>11322</v>
      </c>
    </row>
    <row r="2095" spans="1:2" ht="15">
      <c r="A2095" s="113" t="s">
        <v>6458</v>
      </c>
      <c r="B2095" s="112" t="s">
        <v>11322</v>
      </c>
    </row>
    <row r="2096" spans="1:2" ht="15">
      <c r="A2096" s="113" t="s">
        <v>6459</v>
      </c>
      <c r="B2096" s="112" t="s">
        <v>11322</v>
      </c>
    </row>
    <row r="2097" spans="1:2" ht="15">
      <c r="A2097" s="113" t="s">
        <v>6460</v>
      </c>
      <c r="B2097" s="112" t="s">
        <v>11322</v>
      </c>
    </row>
    <row r="2098" spans="1:2" ht="15">
      <c r="A2098" s="113" t="s">
        <v>6461</v>
      </c>
      <c r="B2098" s="112" t="s">
        <v>11322</v>
      </c>
    </row>
    <row r="2099" spans="1:2" ht="15">
      <c r="A2099" s="113" t="s">
        <v>6462</v>
      </c>
      <c r="B2099" s="112" t="s">
        <v>11322</v>
      </c>
    </row>
    <row r="2100" spans="1:2" ht="15">
      <c r="A2100" s="113" t="s">
        <v>6463</v>
      </c>
      <c r="B2100" s="112" t="s">
        <v>11322</v>
      </c>
    </row>
    <row r="2101" spans="1:2" ht="15">
      <c r="A2101" s="113" t="s">
        <v>6464</v>
      </c>
      <c r="B2101" s="112" t="s">
        <v>11322</v>
      </c>
    </row>
    <row r="2102" spans="1:2" ht="15">
      <c r="A2102" s="113" t="s">
        <v>6465</v>
      </c>
      <c r="B2102" s="112" t="s">
        <v>11322</v>
      </c>
    </row>
    <row r="2103" spans="1:2" ht="15">
      <c r="A2103" s="113" t="s">
        <v>6466</v>
      </c>
      <c r="B2103" s="112" t="s">
        <v>11322</v>
      </c>
    </row>
    <row r="2104" spans="1:2" ht="15">
      <c r="A2104" s="113" t="s">
        <v>6467</v>
      </c>
      <c r="B2104" s="112" t="s">
        <v>11322</v>
      </c>
    </row>
    <row r="2105" spans="1:2" ht="15">
      <c r="A2105" s="113" t="s">
        <v>6468</v>
      </c>
      <c r="B2105" s="112" t="s">
        <v>11322</v>
      </c>
    </row>
    <row r="2106" spans="1:2" ht="15">
      <c r="A2106" s="113" t="s">
        <v>6469</v>
      </c>
      <c r="B2106" s="112" t="s">
        <v>11322</v>
      </c>
    </row>
    <row r="2107" spans="1:2" ht="15">
      <c r="A2107" s="113" t="s">
        <v>6470</v>
      </c>
      <c r="B2107" s="112" t="s">
        <v>11322</v>
      </c>
    </row>
    <row r="2108" spans="1:2" ht="15">
      <c r="A2108" s="113" t="s">
        <v>6471</v>
      </c>
      <c r="B2108" s="112" t="s">
        <v>11322</v>
      </c>
    </row>
    <row r="2109" spans="1:2" ht="15">
      <c r="A2109" s="113" t="s">
        <v>6472</v>
      </c>
      <c r="B2109" s="112" t="s">
        <v>11322</v>
      </c>
    </row>
    <row r="2110" spans="1:2" ht="15">
      <c r="A2110" s="113" t="s">
        <v>6473</v>
      </c>
      <c r="B2110" s="112" t="s">
        <v>11322</v>
      </c>
    </row>
    <row r="2111" spans="1:2" ht="15">
      <c r="A2111" s="113" t="s">
        <v>6474</v>
      </c>
      <c r="B2111" s="112" t="s">
        <v>11322</v>
      </c>
    </row>
    <row r="2112" spans="1:2" ht="15">
      <c r="A2112" s="113" t="s">
        <v>6475</v>
      </c>
      <c r="B2112" s="112" t="s">
        <v>11322</v>
      </c>
    </row>
    <row r="2113" spans="1:2" ht="15">
      <c r="A2113" s="113" t="s">
        <v>6476</v>
      </c>
      <c r="B2113" s="112" t="s">
        <v>11322</v>
      </c>
    </row>
    <row r="2114" spans="1:2" ht="15">
      <c r="A2114" s="113" t="s">
        <v>6477</v>
      </c>
      <c r="B2114" s="112" t="s">
        <v>11322</v>
      </c>
    </row>
    <row r="2115" spans="1:2" ht="15">
      <c r="A2115" s="113" t="s">
        <v>6478</v>
      </c>
      <c r="B2115" s="112" t="s">
        <v>11322</v>
      </c>
    </row>
    <row r="2116" spans="1:2" ht="15">
      <c r="A2116" s="113" t="s">
        <v>6479</v>
      </c>
      <c r="B2116" s="112" t="s">
        <v>11322</v>
      </c>
    </row>
    <row r="2117" spans="1:2" ht="15">
      <c r="A2117" s="113" t="s">
        <v>6480</v>
      </c>
      <c r="B2117" s="112" t="s">
        <v>11322</v>
      </c>
    </row>
    <row r="2118" spans="1:2" ht="15">
      <c r="A2118" s="113" t="s">
        <v>6481</v>
      </c>
      <c r="B2118" s="112" t="s">
        <v>11322</v>
      </c>
    </row>
    <row r="2119" spans="1:2" ht="15">
      <c r="A2119" s="113" t="s">
        <v>6482</v>
      </c>
      <c r="B2119" s="112" t="s">
        <v>11322</v>
      </c>
    </row>
    <row r="2120" spans="1:2" ht="15">
      <c r="A2120" s="113" t="s">
        <v>6483</v>
      </c>
      <c r="B2120" s="112" t="s">
        <v>11322</v>
      </c>
    </row>
    <row r="2121" spans="1:2" ht="15">
      <c r="A2121" s="113" t="s">
        <v>6484</v>
      </c>
      <c r="B2121" s="112" t="s">
        <v>11322</v>
      </c>
    </row>
    <row r="2122" spans="1:2" ht="15">
      <c r="A2122" s="113" t="s">
        <v>6485</v>
      </c>
      <c r="B2122" s="112" t="s">
        <v>11322</v>
      </c>
    </row>
    <row r="2123" spans="1:2" ht="15">
      <c r="A2123" s="113" t="s">
        <v>6486</v>
      </c>
      <c r="B2123" s="112" t="s">
        <v>11322</v>
      </c>
    </row>
    <row r="2124" spans="1:2" ht="15">
      <c r="A2124" s="113" t="s">
        <v>6487</v>
      </c>
      <c r="B2124" s="112" t="s">
        <v>11322</v>
      </c>
    </row>
    <row r="2125" spans="1:2" ht="15">
      <c r="A2125" s="113" t="s">
        <v>6488</v>
      </c>
      <c r="B2125" s="112" t="s">
        <v>11322</v>
      </c>
    </row>
    <row r="2126" spans="1:2" ht="15">
      <c r="A2126" s="113" t="s">
        <v>6489</v>
      </c>
      <c r="B2126" s="112" t="s">
        <v>11322</v>
      </c>
    </row>
    <row r="2127" spans="1:2" ht="15">
      <c r="A2127" s="113" t="s">
        <v>6490</v>
      </c>
      <c r="B2127" s="112" t="s">
        <v>11322</v>
      </c>
    </row>
    <row r="2128" spans="1:2" ht="15">
      <c r="A2128" s="113" t="s">
        <v>6491</v>
      </c>
      <c r="B2128" s="112" t="s">
        <v>11322</v>
      </c>
    </row>
    <row r="2129" spans="1:2" ht="15">
      <c r="A2129" s="113" t="s">
        <v>6492</v>
      </c>
      <c r="B2129" s="112" t="s">
        <v>11322</v>
      </c>
    </row>
    <row r="2130" spans="1:2" ht="15">
      <c r="A2130" s="113" t="s">
        <v>6493</v>
      </c>
      <c r="B2130" s="112" t="s">
        <v>11322</v>
      </c>
    </row>
    <row r="2131" spans="1:2" ht="15">
      <c r="A2131" s="113" t="s">
        <v>6494</v>
      </c>
      <c r="B2131" s="112" t="s">
        <v>11322</v>
      </c>
    </row>
    <row r="2132" spans="1:2" ht="15">
      <c r="A2132" s="113" t="s">
        <v>6495</v>
      </c>
      <c r="B2132" s="112" t="s">
        <v>11322</v>
      </c>
    </row>
    <row r="2133" spans="1:2" ht="15">
      <c r="A2133" s="113" t="s">
        <v>6496</v>
      </c>
      <c r="B2133" s="112" t="s">
        <v>11322</v>
      </c>
    </row>
    <row r="2134" spans="1:2" ht="15">
      <c r="A2134" s="113" t="s">
        <v>6497</v>
      </c>
      <c r="B2134" s="112" t="s">
        <v>11322</v>
      </c>
    </row>
    <row r="2135" spans="1:2" ht="15">
      <c r="A2135" s="113" t="s">
        <v>6498</v>
      </c>
      <c r="B2135" s="112" t="s">
        <v>11322</v>
      </c>
    </row>
    <row r="2136" spans="1:2" ht="15">
      <c r="A2136" s="113" t="s">
        <v>6499</v>
      </c>
      <c r="B2136" s="112" t="s">
        <v>11322</v>
      </c>
    </row>
    <row r="2137" spans="1:2" ht="15">
      <c r="A2137" s="113" t="s">
        <v>6500</v>
      </c>
      <c r="B2137" s="112" t="s">
        <v>11322</v>
      </c>
    </row>
    <row r="2138" spans="1:2" ht="15">
      <c r="A2138" s="113" t="s">
        <v>6501</v>
      </c>
      <c r="B2138" s="112" t="s">
        <v>11322</v>
      </c>
    </row>
    <row r="2139" spans="1:2" ht="15">
      <c r="A2139" s="113" t="s">
        <v>6502</v>
      </c>
      <c r="B2139" s="112" t="s">
        <v>11322</v>
      </c>
    </row>
    <row r="2140" spans="1:2" ht="15">
      <c r="A2140" s="113" t="s">
        <v>6503</v>
      </c>
      <c r="B2140" s="112" t="s">
        <v>11322</v>
      </c>
    </row>
    <row r="2141" spans="1:2" ht="15">
      <c r="A2141" s="113" t="s">
        <v>6504</v>
      </c>
      <c r="B2141" s="112" t="s">
        <v>11322</v>
      </c>
    </row>
    <row r="2142" spans="1:2" ht="15">
      <c r="A2142" s="113" t="s">
        <v>6505</v>
      </c>
      <c r="B2142" s="112" t="s">
        <v>11322</v>
      </c>
    </row>
    <row r="2143" spans="1:2" ht="15">
      <c r="A2143" s="113" t="s">
        <v>6506</v>
      </c>
      <c r="B2143" s="112" t="s">
        <v>11322</v>
      </c>
    </row>
    <row r="2144" spans="1:2" ht="15">
      <c r="A2144" s="113" t="s">
        <v>6507</v>
      </c>
      <c r="B2144" s="112" t="s">
        <v>11322</v>
      </c>
    </row>
    <row r="2145" spans="1:2" ht="15">
      <c r="A2145" s="113" t="s">
        <v>6508</v>
      </c>
      <c r="B2145" s="112" t="s">
        <v>11322</v>
      </c>
    </row>
    <row r="2146" spans="1:2" ht="15">
      <c r="A2146" s="113" t="s">
        <v>6509</v>
      </c>
      <c r="B2146" s="112" t="s">
        <v>11322</v>
      </c>
    </row>
    <row r="2147" spans="1:2" ht="15">
      <c r="A2147" s="113" t="s">
        <v>6510</v>
      </c>
      <c r="B2147" s="112" t="s">
        <v>11322</v>
      </c>
    </row>
    <row r="2148" spans="1:2" ht="15">
      <c r="A2148" s="113" t="s">
        <v>6511</v>
      </c>
      <c r="B2148" s="112" t="s">
        <v>11322</v>
      </c>
    </row>
    <row r="2149" spans="1:2" ht="15">
      <c r="A2149" s="113" t="s">
        <v>6512</v>
      </c>
      <c r="B2149" s="112" t="s">
        <v>11322</v>
      </c>
    </row>
    <row r="2150" spans="1:2" ht="15">
      <c r="A2150" s="113" t="s">
        <v>6513</v>
      </c>
      <c r="B2150" s="112" t="s">
        <v>11322</v>
      </c>
    </row>
    <row r="2151" spans="1:2" ht="15">
      <c r="A2151" s="113" t="s">
        <v>6514</v>
      </c>
      <c r="B2151" s="112" t="s">
        <v>11322</v>
      </c>
    </row>
    <row r="2152" spans="1:2" ht="15">
      <c r="A2152" s="113" t="s">
        <v>6515</v>
      </c>
      <c r="B2152" s="112" t="s">
        <v>11322</v>
      </c>
    </row>
    <row r="2153" spans="1:2" ht="15">
      <c r="A2153" s="113" t="s">
        <v>6516</v>
      </c>
      <c r="B2153" s="112" t="s">
        <v>11322</v>
      </c>
    </row>
    <row r="2154" spans="1:2" ht="15">
      <c r="A2154" s="113" t="s">
        <v>6517</v>
      </c>
      <c r="B2154" s="112" t="s">
        <v>11322</v>
      </c>
    </row>
    <row r="2155" spans="1:2" ht="15">
      <c r="A2155" s="113" t="s">
        <v>6518</v>
      </c>
      <c r="B2155" s="112" t="s">
        <v>11322</v>
      </c>
    </row>
    <row r="2156" spans="1:2" ht="15">
      <c r="A2156" s="113" t="s">
        <v>6519</v>
      </c>
      <c r="B2156" s="112" t="s">
        <v>11322</v>
      </c>
    </row>
    <row r="2157" spans="1:2" ht="15">
      <c r="A2157" s="113" t="s">
        <v>6520</v>
      </c>
      <c r="B2157" s="112" t="s">
        <v>11322</v>
      </c>
    </row>
    <row r="2158" spans="1:2" ht="15">
      <c r="A2158" s="113" t="s">
        <v>6521</v>
      </c>
      <c r="B2158" s="112" t="s">
        <v>11322</v>
      </c>
    </row>
    <row r="2159" spans="1:2" ht="15">
      <c r="A2159" s="113" t="s">
        <v>6522</v>
      </c>
      <c r="B2159" s="112" t="s">
        <v>11322</v>
      </c>
    </row>
    <row r="2160" spans="1:2" ht="15">
      <c r="A2160" s="113" t="s">
        <v>6523</v>
      </c>
      <c r="B2160" s="112" t="s">
        <v>11322</v>
      </c>
    </row>
    <row r="2161" spans="1:2" ht="15">
      <c r="A2161" s="113" t="s">
        <v>6524</v>
      </c>
      <c r="B2161" s="112" t="s">
        <v>11322</v>
      </c>
    </row>
    <row r="2162" spans="1:2" ht="15">
      <c r="A2162" s="113" t="s">
        <v>6525</v>
      </c>
      <c r="B2162" s="112" t="s">
        <v>11322</v>
      </c>
    </row>
    <row r="2163" spans="1:2" ht="15">
      <c r="A2163" s="113" t="s">
        <v>6526</v>
      </c>
      <c r="B2163" s="112" t="s">
        <v>11322</v>
      </c>
    </row>
    <row r="2164" spans="1:2" ht="15">
      <c r="A2164" s="113" t="s">
        <v>6527</v>
      </c>
      <c r="B2164" s="112" t="s">
        <v>11322</v>
      </c>
    </row>
    <row r="2165" spans="1:2" ht="15">
      <c r="A2165" s="113" t="s">
        <v>6528</v>
      </c>
      <c r="B2165" s="112" t="s">
        <v>11322</v>
      </c>
    </row>
    <row r="2166" spans="1:2" ht="15">
      <c r="A2166" s="113" t="s">
        <v>6529</v>
      </c>
      <c r="B2166" s="112" t="s">
        <v>11322</v>
      </c>
    </row>
    <row r="2167" spans="1:2" ht="15">
      <c r="A2167" s="113" t="s">
        <v>6530</v>
      </c>
      <c r="B2167" s="112" t="s">
        <v>11322</v>
      </c>
    </row>
    <row r="2168" spans="1:2" ht="15">
      <c r="A2168" s="113" t="s">
        <v>6531</v>
      </c>
      <c r="B2168" s="112" t="s">
        <v>11322</v>
      </c>
    </row>
    <row r="2169" spans="1:2" ht="15">
      <c r="A2169" s="113" t="s">
        <v>6532</v>
      </c>
      <c r="B2169" s="112" t="s">
        <v>11322</v>
      </c>
    </row>
    <row r="2170" spans="1:2" ht="15">
      <c r="A2170" s="113" t="s">
        <v>6533</v>
      </c>
      <c r="B2170" s="112" t="s">
        <v>11322</v>
      </c>
    </row>
    <row r="2171" spans="1:2" ht="15">
      <c r="A2171" s="113" t="s">
        <v>6534</v>
      </c>
      <c r="B2171" s="112" t="s">
        <v>11322</v>
      </c>
    </row>
    <row r="2172" spans="1:2" ht="15">
      <c r="A2172" s="113" t="s">
        <v>6535</v>
      </c>
      <c r="B2172" s="112" t="s">
        <v>11322</v>
      </c>
    </row>
    <row r="2173" spans="1:2" ht="15">
      <c r="A2173" s="113" t="s">
        <v>6536</v>
      </c>
      <c r="B2173" s="112" t="s">
        <v>11322</v>
      </c>
    </row>
    <row r="2174" spans="1:2" ht="15">
      <c r="A2174" s="113" t="s">
        <v>6537</v>
      </c>
      <c r="B2174" s="112" t="s">
        <v>11322</v>
      </c>
    </row>
    <row r="2175" spans="1:2" ht="15">
      <c r="A2175" s="113" t="s">
        <v>6538</v>
      </c>
      <c r="B2175" s="112" t="s">
        <v>11322</v>
      </c>
    </row>
    <row r="2176" spans="1:2" ht="15">
      <c r="A2176" s="113" t="s">
        <v>6539</v>
      </c>
      <c r="B2176" s="112" t="s">
        <v>11322</v>
      </c>
    </row>
    <row r="2177" spans="1:2" ht="15">
      <c r="A2177" s="113" t="s">
        <v>6540</v>
      </c>
      <c r="B2177" s="112" t="s">
        <v>11322</v>
      </c>
    </row>
    <row r="2178" spans="1:2" ht="15">
      <c r="A2178" s="113" t="s">
        <v>6541</v>
      </c>
      <c r="B2178" s="112" t="s">
        <v>11322</v>
      </c>
    </row>
    <row r="2179" spans="1:2" ht="15">
      <c r="A2179" s="113" t="s">
        <v>2373</v>
      </c>
      <c r="B2179" s="112" t="s">
        <v>11322</v>
      </c>
    </row>
    <row r="2180" spans="1:2" ht="15">
      <c r="A2180" s="113" t="s">
        <v>2374</v>
      </c>
      <c r="B2180" s="112" t="s">
        <v>11322</v>
      </c>
    </row>
    <row r="2181" spans="1:2" ht="15">
      <c r="A2181" s="113" t="s">
        <v>681</v>
      </c>
      <c r="B2181" s="112" t="s">
        <v>11322</v>
      </c>
    </row>
    <row r="2182" spans="1:2" ht="15">
      <c r="A2182" s="113" t="s">
        <v>2375</v>
      </c>
      <c r="B2182" s="112" t="s">
        <v>11322</v>
      </c>
    </row>
    <row r="2183" spans="1:2" ht="15">
      <c r="A2183" s="113" t="s">
        <v>2649</v>
      </c>
      <c r="B2183" s="112" t="s">
        <v>11322</v>
      </c>
    </row>
    <row r="2184" spans="1:2" ht="15">
      <c r="A2184" s="113" t="s">
        <v>2671</v>
      </c>
      <c r="B2184" s="112" t="s">
        <v>11322</v>
      </c>
    </row>
    <row r="2185" spans="1:2" ht="15">
      <c r="A2185" s="113" t="s">
        <v>2668</v>
      </c>
      <c r="B2185" s="112" t="s">
        <v>11322</v>
      </c>
    </row>
    <row r="2186" spans="1:2" ht="15">
      <c r="A2186" s="113" t="s">
        <v>2680</v>
      </c>
      <c r="B2186" s="112" t="s">
        <v>11322</v>
      </c>
    </row>
    <row r="2187" spans="1:2" ht="15">
      <c r="A2187" s="113" t="s">
        <v>2687</v>
      </c>
      <c r="B2187" s="112" t="s">
        <v>11322</v>
      </c>
    </row>
    <row r="2188" spans="1:2" ht="15">
      <c r="A2188" s="113" t="s">
        <v>2688</v>
      </c>
      <c r="B2188" s="112" t="s">
        <v>11322</v>
      </c>
    </row>
    <row r="2189" spans="1:2" ht="15">
      <c r="A2189" s="113" t="s">
        <v>2661</v>
      </c>
      <c r="B2189" s="112" t="s">
        <v>11322</v>
      </c>
    </row>
    <row r="2190" spans="1:2" ht="15">
      <c r="A2190" s="113" t="s">
        <v>2684</v>
      </c>
      <c r="B2190" s="112" t="s">
        <v>11322</v>
      </c>
    </row>
    <row r="2191" spans="1:2" ht="15">
      <c r="A2191" s="113" t="s">
        <v>2710</v>
      </c>
      <c r="B2191" s="112" t="s">
        <v>11322</v>
      </c>
    </row>
    <row r="2192" spans="1:2" ht="15">
      <c r="A2192" s="113" t="s">
        <v>2679</v>
      </c>
      <c r="B2192" s="112" t="s">
        <v>11322</v>
      </c>
    </row>
    <row r="2193" spans="1:2" ht="15">
      <c r="A2193" s="113" t="s">
        <v>2715</v>
      </c>
      <c r="B2193" s="112" t="s">
        <v>11322</v>
      </c>
    </row>
    <row r="2194" spans="1:2" ht="15">
      <c r="A2194" s="113" t="s">
        <v>2728</v>
      </c>
      <c r="B2194" s="112" t="s">
        <v>11322</v>
      </c>
    </row>
    <row r="2195" spans="1:2" ht="15">
      <c r="A2195" s="113" t="s">
        <v>2737</v>
      </c>
      <c r="B2195" s="112" t="s">
        <v>11322</v>
      </c>
    </row>
    <row r="2196" spans="1:2" ht="15">
      <c r="A2196" s="113" t="s">
        <v>2739</v>
      </c>
      <c r="B2196" s="112" t="s">
        <v>11322</v>
      </c>
    </row>
    <row r="2197" spans="1:2" ht="15">
      <c r="A2197" s="113" t="s">
        <v>2748</v>
      </c>
      <c r="B2197" s="112" t="s">
        <v>11322</v>
      </c>
    </row>
    <row r="2198" spans="1:2" ht="15">
      <c r="A2198" s="113" t="s">
        <v>2724</v>
      </c>
      <c r="B2198" s="112" t="s">
        <v>11322</v>
      </c>
    </row>
    <row r="2199" spans="1:2" ht="15">
      <c r="A2199" s="113" t="s">
        <v>2762</v>
      </c>
      <c r="B2199" s="112" t="s">
        <v>11322</v>
      </c>
    </row>
    <row r="2200" spans="1:2" ht="15">
      <c r="A2200" s="113" t="s">
        <v>2763</v>
      </c>
      <c r="B2200" s="112" t="s">
        <v>11322</v>
      </c>
    </row>
    <row r="2201" spans="1:2" ht="15">
      <c r="A2201" s="113" t="s">
        <v>2784</v>
      </c>
      <c r="B2201" s="112" t="s">
        <v>11322</v>
      </c>
    </row>
    <row r="2202" spans="1:2" ht="15">
      <c r="A2202" s="113" t="s">
        <v>2788</v>
      </c>
      <c r="B2202" s="112" t="s">
        <v>11322</v>
      </c>
    </row>
    <row r="2203" spans="1:2" ht="15">
      <c r="A2203" s="113" t="s">
        <v>2741</v>
      </c>
      <c r="B2203" s="112" t="s">
        <v>11322</v>
      </c>
    </row>
    <row r="2204" spans="1:2" ht="15">
      <c r="A2204" s="113" t="s">
        <v>2801</v>
      </c>
      <c r="B2204" s="112" t="s">
        <v>11322</v>
      </c>
    </row>
    <row r="2205" spans="1:2" ht="15">
      <c r="A2205" s="113" t="s">
        <v>2803</v>
      </c>
      <c r="B2205" s="112" t="s">
        <v>11322</v>
      </c>
    </row>
    <row r="2206" spans="1:2" ht="15">
      <c r="A2206" s="113" t="s">
        <v>2804</v>
      </c>
      <c r="B2206" s="112" t="s">
        <v>11322</v>
      </c>
    </row>
    <row r="2207" spans="1:2" ht="15">
      <c r="A2207" s="113" t="s">
        <v>2749</v>
      </c>
      <c r="B2207" s="112" t="s">
        <v>11322</v>
      </c>
    </row>
    <row r="2208" spans="1:2" ht="15">
      <c r="A2208" s="113" t="s">
        <v>2718</v>
      </c>
      <c r="B2208" s="112" t="s">
        <v>11322</v>
      </c>
    </row>
    <row r="2209" spans="1:2" ht="15">
      <c r="A2209" s="113" t="s">
        <v>2821</v>
      </c>
      <c r="B2209" s="112" t="s">
        <v>11322</v>
      </c>
    </row>
    <row r="2210" spans="1:2" ht="15">
      <c r="A2210" s="113" t="s">
        <v>2843</v>
      </c>
      <c r="B2210" s="112" t="s">
        <v>11322</v>
      </c>
    </row>
    <row r="2211" spans="1:2" ht="15">
      <c r="A2211" s="113" t="s">
        <v>2844</v>
      </c>
      <c r="B2211" s="112" t="s">
        <v>11322</v>
      </c>
    </row>
    <row r="2212" spans="1:2" ht="15">
      <c r="A2212" s="113" t="s">
        <v>2849</v>
      </c>
      <c r="B2212" s="112" t="s">
        <v>11322</v>
      </c>
    </row>
    <row r="2213" spans="1:2" ht="15">
      <c r="A2213" s="113" t="s">
        <v>2884</v>
      </c>
      <c r="B2213" s="112" t="s">
        <v>11322</v>
      </c>
    </row>
    <row r="2214" spans="1:2" ht="15">
      <c r="A2214" s="113" t="s">
        <v>2800</v>
      </c>
      <c r="B2214" s="112" t="s">
        <v>11322</v>
      </c>
    </row>
    <row r="2215" spans="1:2" ht="15">
      <c r="A2215" s="113" t="s">
        <v>2907</v>
      </c>
      <c r="B2215" s="112" t="s">
        <v>11322</v>
      </c>
    </row>
    <row r="2216" spans="1:2" ht="15">
      <c r="A2216" s="113" t="s">
        <v>2912</v>
      </c>
      <c r="B2216" s="112" t="s">
        <v>11322</v>
      </c>
    </row>
    <row r="2217" spans="1:2" ht="15">
      <c r="A2217" s="113" t="s">
        <v>2915</v>
      </c>
      <c r="B2217" s="112" t="s">
        <v>11322</v>
      </c>
    </row>
    <row r="2218" spans="1:2" ht="15">
      <c r="A2218" s="113" t="s">
        <v>2916</v>
      </c>
      <c r="B2218" s="112" t="s">
        <v>11322</v>
      </c>
    </row>
    <row r="2219" spans="1:2" ht="15">
      <c r="A2219" s="113" t="s">
        <v>2919</v>
      </c>
      <c r="B2219" s="112" t="s">
        <v>11322</v>
      </c>
    </row>
    <row r="2220" spans="1:2" ht="15">
      <c r="A2220" s="113" t="s">
        <v>2921</v>
      </c>
      <c r="B2220" s="112" t="s">
        <v>11322</v>
      </c>
    </row>
    <row r="2221" spans="1:2" ht="15">
      <c r="A2221" s="113" t="s">
        <v>2814</v>
      </c>
      <c r="B2221" s="112" t="s">
        <v>11322</v>
      </c>
    </row>
    <row r="2222" spans="1:2" ht="15">
      <c r="A2222" s="113" t="s">
        <v>2822</v>
      </c>
      <c r="B2222" s="112" t="s">
        <v>11322</v>
      </c>
    </row>
    <row r="2223" spans="1:2" ht="15">
      <c r="A2223" s="113" t="s">
        <v>2823</v>
      </c>
      <c r="B2223" s="112" t="s">
        <v>11322</v>
      </c>
    </row>
    <row r="2224" spans="1:2" ht="15">
      <c r="A2224" s="113" t="s">
        <v>2934</v>
      </c>
      <c r="B2224" s="112" t="s">
        <v>11322</v>
      </c>
    </row>
    <row r="2225" spans="1:2" ht="15">
      <c r="A2225" s="113" t="s">
        <v>2947</v>
      </c>
      <c r="B2225" s="112" t="s">
        <v>11322</v>
      </c>
    </row>
    <row r="2226" spans="1:2" ht="15">
      <c r="A2226" s="113" t="s">
        <v>2833</v>
      </c>
      <c r="B2226" s="112" t="s">
        <v>11322</v>
      </c>
    </row>
    <row r="2227" spans="1:2" ht="15">
      <c r="A2227" s="113" t="s">
        <v>2835</v>
      </c>
      <c r="B2227" s="112" t="s">
        <v>11322</v>
      </c>
    </row>
    <row r="2228" spans="1:2" ht="15">
      <c r="A2228" s="113" t="s">
        <v>2960</v>
      </c>
      <c r="B2228" s="112" t="s">
        <v>11322</v>
      </c>
    </row>
    <row r="2229" spans="1:2" ht="15">
      <c r="A2229" s="113" t="s">
        <v>2996</v>
      </c>
      <c r="B2229" s="112" t="s">
        <v>11322</v>
      </c>
    </row>
    <row r="2230" spans="1:2" ht="15">
      <c r="A2230" s="113" t="s">
        <v>3002</v>
      </c>
      <c r="B2230" s="112" t="s">
        <v>11322</v>
      </c>
    </row>
    <row r="2231" spans="1:2" ht="15">
      <c r="A2231" s="113" t="s">
        <v>3021</v>
      </c>
      <c r="B2231" s="112" t="s">
        <v>11322</v>
      </c>
    </row>
    <row r="2232" spans="1:2" ht="15">
      <c r="A2232" s="113" t="s">
        <v>3025</v>
      </c>
      <c r="B2232" s="112" t="s">
        <v>11322</v>
      </c>
    </row>
    <row r="2233" spans="1:2" ht="15">
      <c r="A2233" s="113" t="s">
        <v>3028</v>
      </c>
      <c r="B2233" s="112" t="s">
        <v>11322</v>
      </c>
    </row>
    <row r="2234" spans="1:2" ht="15">
      <c r="A2234" s="113" t="s">
        <v>3026</v>
      </c>
      <c r="B2234" s="112" t="s">
        <v>11322</v>
      </c>
    </row>
    <row r="2235" spans="1:2" ht="15">
      <c r="A2235" s="113" t="s">
        <v>6542</v>
      </c>
      <c r="B2235" s="112" t="s">
        <v>11323</v>
      </c>
    </row>
    <row r="2236" spans="1:2" ht="15">
      <c r="A2236" s="113" t="s">
        <v>6543</v>
      </c>
      <c r="B2236" s="112" t="s">
        <v>11323</v>
      </c>
    </row>
    <row r="2237" spans="1:2" ht="15">
      <c r="A2237" s="113" t="s">
        <v>6544</v>
      </c>
      <c r="B2237" s="112" t="s">
        <v>11323</v>
      </c>
    </row>
    <row r="2238" spans="1:2" ht="15">
      <c r="A2238" s="113" t="s">
        <v>6545</v>
      </c>
      <c r="B2238" s="112" t="s">
        <v>11323</v>
      </c>
    </row>
    <row r="2239" spans="1:2" ht="15">
      <c r="A2239" s="113" t="s">
        <v>6546</v>
      </c>
      <c r="B2239" s="112" t="s">
        <v>11323</v>
      </c>
    </row>
    <row r="2240" spans="1:2" ht="15">
      <c r="A2240" s="113" t="s">
        <v>6547</v>
      </c>
      <c r="B2240" s="112" t="s">
        <v>11323</v>
      </c>
    </row>
    <row r="2241" spans="1:2" ht="15">
      <c r="A2241" s="113" t="s">
        <v>6548</v>
      </c>
      <c r="B2241" s="112" t="s">
        <v>11323</v>
      </c>
    </row>
    <row r="2242" spans="1:2" ht="15">
      <c r="A2242" s="113" t="s">
        <v>6549</v>
      </c>
      <c r="B2242" s="112" t="s">
        <v>11323</v>
      </c>
    </row>
    <row r="2243" spans="1:2" ht="15">
      <c r="A2243" s="113" t="s">
        <v>6550</v>
      </c>
      <c r="B2243" s="112" t="s">
        <v>11323</v>
      </c>
    </row>
    <row r="2244" spans="1:2" ht="15">
      <c r="A2244" s="113" t="s">
        <v>6551</v>
      </c>
      <c r="B2244" s="112" t="s">
        <v>11323</v>
      </c>
    </row>
    <row r="2245" spans="1:2" ht="15">
      <c r="A2245" s="113" t="s">
        <v>6552</v>
      </c>
      <c r="B2245" s="112" t="s">
        <v>11323</v>
      </c>
    </row>
    <row r="2246" spans="1:2" ht="15">
      <c r="A2246" s="113" t="s">
        <v>6553</v>
      </c>
      <c r="B2246" s="112" t="s">
        <v>11323</v>
      </c>
    </row>
    <row r="2247" spans="1:2" ht="15">
      <c r="A2247" s="113" t="s">
        <v>6554</v>
      </c>
      <c r="B2247" s="112" t="s">
        <v>11323</v>
      </c>
    </row>
    <row r="2248" spans="1:2" ht="15">
      <c r="A2248" s="113" t="s">
        <v>6555</v>
      </c>
      <c r="B2248" s="112" t="s">
        <v>11323</v>
      </c>
    </row>
    <row r="2249" spans="1:2" ht="15">
      <c r="A2249" s="113" t="s">
        <v>6556</v>
      </c>
      <c r="B2249" s="112" t="s">
        <v>11323</v>
      </c>
    </row>
    <row r="2250" spans="1:2" ht="15">
      <c r="A2250" s="113" t="s">
        <v>6557</v>
      </c>
      <c r="B2250" s="112" t="s">
        <v>11323</v>
      </c>
    </row>
    <row r="2251" spans="1:2" ht="15">
      <c r="A2251" s="113" t="s">
        <v>6558</v>
      </c>
      <c r="B2251" s="112" t="s">
        <v>11323</v>
      </c>
    </row>
    <row r="2252" spans="1:2" ht="15">
      <c r="A2252" s="113" t="s">
        <v>6559</v>
      </c>
      <c r="B2252" s="112" t="s">
        <v>11323</v>
      </c>
    </row>
    <row r="2253" spans="1:2" ht="15">
      <c r="A2253" s="113" t="s">
        <v>6560</v>
      </c>
      <c r="B2253" s="112" t="s">
        <v>11323</v>
      </c>
    </row>
    <row r="2254" spans="1:2" ht="15">
      <c r="A2254" s="113" t="s">
        <v>6561</v>
      </c>
      <c r="B2254" s="112" t="s">
        <v>11323</v>
      </c>
    </row>
    <row r="2255" spans="1:2" ht="15">
      <c r="A2255" s="113" t="s">
        <v>6562</v>
      </c>
      <c r="B2255" s="112" t="s">
        <v>11323</v>
      </c>
    </row>
    <row r="2256" spans="1:2" ht="15">
      <c r="A2256" s="113" t="s">
        <v>6563</v>
      </c>
      <c r="B2256" s="112" t="s">
        <v>11323</v>
      </c>
    </row>
    <row r="2257" spans="1:2" ht="15">
      <c r="A2257" s="113" t="s">
        <v>6564</v>
      </c>
      <c r="B2257" s="112" t="s">
        <v>11323</v>
      </c>
    </row>
    <row r="2258" spans="1:2" ht="15">
      <c r="A2258" s="113" t="s">
        <v>6565</v>
      </c>
      <c r="B2258" s="112" t="s">
        <v>11323</v>
      </c>
    </row>
    <row r="2259" spans="1:2" ht="15">
      <c r="A2259" s="113" t="s">
        <v>6566</v>
      </c>
      <c r="B2259" s="112" t="s">
        <v>11323</v>
      </c>
    </row>
    <row r="2260" spans="1:2" ht="15">
      <c r="A2260" s="113" t="s">
        <v>6567</v>
      </c>
      <c r="B2260" s="112" t="s">
        <v>11323</v>
      </c>
    </row>
    <row r="2261" spans="1:2" ht="15">
      <c r="A2261" s="113" t="s">
        <v>6568</v>
      </c>
      <c r="B2261" s="112" t="s">
        <v>11323</v>
      </c>
    </row>
    <row r="2262" spans="1:2" ht="15">
      <c r="A2262" s="113" t="s">
        <v>6569</v>
      </c>
      <c r="B2262" s="112" t="s">
        <v>11323</v>
      </c>
    </row>
    <row r="2263" spans="1:2" ht="15">
      <c r="A2263" s="113" t="s">
        <v>6570</v>
      </c>
      <c r="B2263" s="112" t="s">
        <v>11323</v>
      </c>
    </row>
    <row r="2264" spans="1:2" ht="15">
      <c r="A2264" s="113" t="s">
        <v>6571</v>
      </c>
      <c r="B2264" s="112" t="s">
        <v>11323</v>
      </c>
    </row>
    <row r="2265" spans="1:2" ht="15">
      <c r="A2265" s="113" t="s">
        <v>6572</v>
      </c>
      <c r="B2265" s="112" t="s">
        <v>11323</v>
      </c>
    </row>
    <row r="2266" spans="1:2" ht="15">
      <c r="A2266" s="113" t="s">
        <v>6573</v>
      </c>
      <c r="B2266" s="112" t="s">
        <v>11323</v>
      </c>
    </row>
    <row r="2267" spans="1:2" ht="15">
      <c r="A2267" s="113" t="s">
        <v>6574</v>
      </c>
      <c r="B2267" s="112" t="s">
        <v>11323</v>
      </c>
    </row>
    <row r="2268" spans="1:2" ht="15">
      <c r="A2268" s="113" t="s">
        <v>6575</v>
      </c>
      <c r="B2268" s="112" t="s">
        <v>11323</v>
      </c>
    </row>
    <row r="2269" spans="1:2" ht="15">
      <c r="A2269" s="113" t="s">
        <v>6576</v>
      </c>
      <c r="B2269" s="112" t="s">
        <v>11323</v>
      </c>
    </row>
    <row r="2270" spans="1:2" ht="15">
      <c r="A2270" s="113" t="s">
        <v>6577</v>
      </c>
      <c r="B2270" s="112" t="s">
        <v>11323</v>
      </c>
    </row>
    <row r="2271" spans="1:2" ht="15">
      <c r="A2271" s="113" t="s">
        <v>6578</v>
      </c>
      <c r="B2271" s="112" t="s">
        <v>11323</v>
      </c>
    </row>
    <row r="2272" spans="1:2" ht="15">
      <c r="A2272" s="113" t="s">
        <v>6579</v>
      </c>
      <c r="B2272" s="112" t="s">
        <v>11323</v>
      </c>
    </row>
    <row r="2273" spans="1:2" ht="15">
      <c r="A2273" s="113" t="s">
        <v>6580</v>
      </c>
      <c r="B2273" s="112" t="s">
        <v>11323</v>
      </c>
    </row>
    <row r="2274" spans="1:2" ht="15">
      <c r="A2274" s="113" t="s">
        <v>6581</v>
      </c>
      <c r="B2274" s="112" t="s">
        <v>11323</v>
      </c>
    </row>
    <row r="2275" spans="1:2" ht="15">
      <c r="A2275" s="113" t="s">
        <v>6582</v>
      </c>
      <c r="B2275" s="112" t="s">
        <v>11323</v>
      </c>
    </row>
    <row r="2276" spans="1:2" ht="15">
      <c r="A2276" s="113" t="s">
        <v>6583</v>
      </c>
      <c r="B2276" s="112" t="s">
        <v>11323</v>
      </c>
    </row>
    <row r="2277" spans="1:2" ht="15">
      <c r="A2277" s="113" t="s">
        <v>6584</v>
      </c>
      <c r="B2277" s="112" t="s">
        <v>11323</v>
      </c>
    </row>
    <row r="2278" spans="1:2" ht="15">
      <c r="A2278" s="113" t="s">
        <v>6585</v>
      </c>
      <c r="B2278" s="112" t="s">
        <v>11323</v>
      </c>
    </row>
    <row r="2279" spans="1:2" ht="15">
      <c r="A2279" s="113" t="s">
        <v>6586</v>
      </c>
      <c r="B2279" s="112" t="s">
        <v>11323</v>
      </c>
    </row>
    <row r="2280" spans="1:2" ht="15">
      <c r="A2280" s="113" t="s">
        <v>6587</v>
      </c>
      <c r="B2280" s="112" t="s">
        <v>11323</v>
      </c>
    </row>
    <row r="2281" spans="1:2" ht="15">
      <c r="A2281" s="113" t="s">
        <v>6588</v>
      </c>
      <c r="B2281" s="112" t="s">
        <v>11323</v>
      </c>
    </row>
    <row r="2282" spans="1:2" ht="15">
      <c r="A2282" s="113" t="s">
        <v>6589</v>
      </c>
      <c r="B2282" s="112" t="s">
        <v>11323</v>
      </c>
    </row>
    <row r="2283" spans="1:2" ht="15">
      <c r="A2283" s="113" t="s">
        <v>6590</v>
      </c>
      <c r="B2283" s="112" t="s">
        <v>11323</v>
      </c>
    </row>
    <row r="2284" spans="1:2" ht="15">
      <c r="A2284" s="113" t="s">
        <v>6591</v>
      </c>
      <c r="B2284" s="112" t="s">
        <v>11323</v>
      </c>
    </row>
    <row r="2285" spans="1:2" ht="15">
      <c r="A2285" s="113" t="s">
        <v>6592</v>
      </c>
      <c r="B2285" s="112" t="s">
        <v>11323</v>
      </c>
    </row>
    <row r="2286" spans="1:2" ht="15">
      <c r="A2286" s="113" t="s">
        <v>6593</v>
      </c>
      <c r="B2286" s="112" t="s">
        <v>11323</v>
      </c>
    </row>
    <row r="2287" spans="1:2" ht="15">
      <c r="A2287" s="113" t="s">
        <v>6594</v>
      </c>
      <c r="B2287" s="112" t="s">
        <v>11323</v>
      </c>
    </row>
    <row r="2288" spans="1:2" ht="15">
      <c r="A2288" s="113" t="s">
        <v>6595</v>
      </c>
      <c r="B2288" s="112" t="s">
        <v>11323</v>
      </c>
    </row>
    <row r="2289" spans="1:2" ht="15">
      <c r="A2289" s="113" t="s">
        <v>6596</v>
      </c>
      <c r="B2289" s="112" t="s">
        <v>11323</v>
      </c>
    </row>
    <row r="2290" spans="1:2" ht="15">
      <c r="A2290" s="113" t="s">
        <v>6597</v>
      </c>
      <c r="B2290" s="112" t="s">
        <v>11323</v>
      </c>
    </row>
    <row r="2291" spans="1:2" ht="15">
      <c r="A2291" s="113" t="s">
        <v>6598</v>
      </c>
      <c r="B2291" s="112" t="s">
        <v>11323</v>
      </c>
    </row>
    <row r="2292" spans="1:2" ht="15">
      <c r="A2292" s="113" t="s">
        <v>6599</v>
      </c>
      <c r="B2292" s="112" t="s">
        <v>11323</v>
      </c>
    </row>
    <row r="2293" spans="1:2" ht="15">
      <c r="A2293" s="113" t="s">
        <v>6600</v>
      </c>
      <c r="B2293" s="112" t="s">
        <v>11323</v>
      </c>
    </row>
    <row r="2294" spans="1:2" ht="15">
      <c r="A2294" s="113" t="s">
        <v>6601</v>
      </c>
      <c r="B2294" s="112" t="s">
        <v>11323</v>
      </c>
    </row>
    <row r="2295" spans="1:2" ht="15">
      <c r="A2295" s="113" t="s">
        <v>6602</v>
      </c>
      <c r="B2295" s="112" t="s">
        <v>11323</v>
      </c>
    </row>
    <row r="2296" spans="1:2" ht="15">
      <c r="A2296" s="113" t="s">
        <v>6603</v>
      </c>
      <c r="B2296" s="112" t="s">
        <v>11323</v>
      </c>
    </row>
    <row r="2297" spans="1:2" ht="15">
      <c r="A2297" s="113" t="s">
        <v>6604</v>
      </c>
      <c r="B2297" s="112" t="s">
        <v>11323</v>
      </c>
    </row>
    <row r="2298" spans="1:2" ht="15">
      <c r="A2298" s="113" t="s">
        <v>6605</v>
      </c>
      <c r="B2298" s="112" t="s">
        <v>11323</v>
      </c>
    </row>
    <row r="2299" spans="1:2" ht="15">
      <c r="A2299" s="113" t="s">
        <v>6606</v>
      </c>
      <c r="B2299" s="112" t="s">
        <v>11323</v>
      </c>
    </row>
    <row r="2300" spans="1:2" ht="15">
      <c r="A2300" s="113" t="s">
        <v>6607</v>
      </c>
      <c r="B2300" s="112" t="s">
        <v>11323</v>
      </c>
    </row>
    <row r="2301" spans="1:2" ht="15">
      <c r="A2301" s="113" t="s">
        <v>6608</v>
      </c>
      <c r="B2301" s="112" t="s">
        <v>11323</v>
      </c>
    </row>
    <row r="2302" spans="1:2" ht="15">
      <c r="A2302" s="113" t="s">
        <v>6609</v>
      </c>
      <c r="B2302" s="112" t="s">
        <v>11323</v>
      </c>
    </row>
    <row r="2303" spans="1:2" ht="15">
      <c r="A2303" s="113" t="s">
        <v>6610</v>
      </c>
      <c r="B2303" s="112" t="s">
        <v>11323</v>
      </c>
    </row>
    <row r="2304" spans="1:2" ht="15">
      <c r="A2304" s="113" t="s">
        <v>6611</v>
      </c>
      <c r="B2304" s="112" t="s">
        <v>11323</v>
      </c>
    </row>
    <row r="2305" spans="1:2" ht="15">
      <c r="A2305" s="113" t="s">
        <v>6612</v>
      </c>
      <c r="B2305" s="112" t="s">
        <v>11323</v>
      </c>
    </row>
    <row r="2306" spans="1:2" ht="15">
      <c r="A2306" s="113" t="s">
        <v>6613</v>
      </c>
      <c r="B2306" s="112" t="s">
        <v>11323</v>
      </c>
    </row>
    <row r="2307" spans="1:2" ht="15">
      <c r="A2307" s="113" t="s">
        <v>6614</v>
      </c>
      <c r="B2307" s="112" t="s">
        <v>11323</v>
      </c>
    </row>
    <row r="2308" spans="1:2" ht="15">
      <c r="A2308" s="113" t="s">
        <v>6615</v>
      </c>
      <c r="B2308" s="112" t="s">
        <v>11323</v>
      </c>
    </row>
    <row r="2309" spans="1:2" ht="15">
      <c r="A2309" s="113" t="s">
        <v>6616</v>
      </c>
      <c r="B2309" s="112" t="s">
        <v>11323</v>
      </c>
    </row>
    <row r="2310" spans="1:2" ht="15">
      <c r="A2310" s="113" t="s">
        <v>6617</v>
      </c>
      <c r="B2310" s="112" t="s">
        <v>11323</v>
      </c>
    </row>
    <row r="2311" spans="1:2" ht="15">
      <c r="A2311" s="113" t="s">
        <v>6618</v>
      </c>
      <c r="B2311" s="112" t="s">
        <v>11323</v>
      </c>
    </row>
    <row r="2312" spans="1:2" ht="15">
      <c r="A2312" s="113" t="s">
        <v>6619</v>
      </c>
      <c r="B2312" s="112" t="s">
        <v>11323</v>
      </c>
    </row>
    <row r="2313" spans="1:2" ht="15">
      <c r="A2313" s="113" t="s">
        <v>6620</v>
      </c>
      <c r="B2313" s="112" t="s">
        <v>11323</v>
      </c>
    </row>
    <row r="2314" spans="1:2" ht="15">
      <c r="A2314" s="113" t="s">
        <v>6621</v>
      </c>
      <c r="B2314" s="112" t="s">
        <v>11323</v>
      </c>
    </row>
    <row r="2315" spans="1:2" ht="15">
      <c r="A2315" s="113" t="s">
        <v>6622</v>
      </c>
      <c r="B2315" s="112" t="s">
        <v>11323</v>
      </c>
    </row>
    <row r="2316" spans="1:2" ht="15">
      <c r="A2316" s="113" t="s">
        <v>6623</v>
      </c>
      <c r="B2316" s="112" t="s">
        <v>11323</v>
      </c>
    </row>
    <row r="2317" spans="1:2" ht="15">
      <c r="A2317" s="113" t="s">
        <v>6624</v>
      </c>
      <c r="B2317" s="112" t="s">
        <v>11323</v>
      </c>
    </row>
    <row r="2318" spans="1:2" ht="15">
      <c r="A2318" s="113" t="s">
        <v>6625</v>
      </c>
      <c r="B2318" s="112" t="s">
        <v>11323</v>
      </c>
    </row>
    <row r="2319" spans="1:2" ht="15">
      <c r="A2319" s="113" t="s">
        <v>6626</v>
      </c>
      <c r="B2319" s="112" t="s">
        <v>11323</v>
      </c>
    </row>
    <row r="2320" spans="1:2" ht="15">
      <c r="A2320" s="113" t="s">
        <v>6627</v>
      </c>
      <c r="B2320" s="112" t="s">
        <v>11323</v>
      </c>
    </row>
    <row r="2321" spans="1:2" ht="15">
      <c r="A2321" s="113" t="s">
        <v>6628</v>
      </c>
      <c r="B2321" s="112" t="s">
        <v>11323</v>
      </c>
    </row>
    <row r="2322" spans="1:2" ht="15">
      <c r="A2322" s="113" t="s">
        <v>6629</v>
      </c>
      <c r="B2322" s="112" t="s">
        <v>11323</v>
      </c>
    </row>
    <row r="2323" spans="1:2" ht="15">
      <c r="A2323" s="113" t="s">
        <v>6630</v>
      </c>
      <c r="B2323" s="112" t="s">
        <v>11323</v>
      </c>
    </row>
    <row r="2324" spans="1:2" ht="15">
      <c r="A2324" s="113" t="s">
        <v>6631</v>
      </c>
      <c r="B2324" s="112" t="s">
        <v>11323</v>
      </c>
    </row>
    <row r="2325" spans="1:2" ht="15">
      <c r="A2325" s="113" t="s">
        <v>6632</v>
      </c>
      <c r="B2325" s="112" t="s">
        <v>11323</v>
      </c>
    </row>
    <row r="2326" spans="1:2" ht="15">
      <c r="A2326" s="113" t="s">
        <v>6633</v>
      </c>
      <c r="B2326" s="112" t="s">
        <v>11323</v>
      </c>
    </row>
    <row r="2327" spans="1:2" ht="15">
      <c r="A2327" s="113" t="s">
        <v>6634</v>
      </c>
      <c r="B2327" s="112" t="s">
        <v>11323</v>
      </c>
    </row>
    <row r="2328" spans="1:2" ht="15">
      <c r="A2328" s="113" t="s">
        <v>6635</v>
      </c>
      <c r="B2328" s="112" t="s">
        <v>11323</v>
      </c>
    </row>
    <row r="2329" spans="1:2" ht="15">
      <c r="A2329" s="113" t="s">
        <v>6636</v>
      </c>
      <c r="B2329" s="112" t="s">
        <v>11323</v>
      </c>
    </row>
    <row r="2330" spans="1:2" ht="15">
      <c r="A2330" s="113" t="s">
        <v>6637</v>
      </c>
      <c r="B2330" s="112" t="s">
        <v>11323</v>
      </c>
    </row>
    <row r="2331" spans="1:2" ht="15">
      <c r="A2331" s="113" t="s">
        <v>6638</v>
      </c>
      <c r="B2331" s="112" t="s">
        <v>11323</v>
      </c>
    </row>
    <row r="2332" spans="1:2" ht="15">
      <c r="A2332" s="113" t="s">
        <v>6639</v>
      </c>
      <c r="B2332" s="112" t="s">
        <v>11323</v>
      </c>
    </row>
    <row r="2333" spans="1:2" ht="15">
      <c r="A2333" s="113" t="s">
        <v>6640</v>
      </c>
      <c r="B2333" s="112" t="s">
        <v>11323</v>
      </c>
    </row>
    <row r="2334" spans="1:2" ht="15">
      <c r="A2334" s="113" t="s">
        <v>6641</v>
      </c>
      <c r="B2334" s="112" t="s">
        <v>11323</v>
      </c>
    </row>
    <row r="2335" spans="1:2" ht="15">
      <c r="A2335" s="113" t="s">
        <v>6642</v>
      </c>
      <c r="B2335" s="112" t="s">
        <v>11323</v>
      </c>
    </row>
    <row r="2336" spans="1:2" ht="15">
      <c r="A2336" s="113" t="s">
        <v>6643</v>
      </c>
      <c r="B2336" s="112" t="s">
        <v>11323</v>
      </c>
    </row>
    <row r="2337" spans="1:2" ht="15">
      <c r="A2337" s="113" t="s">
        <v>6644</v>
      </c>
      <c r="B2337" s="112" t="s">
        <v>11323</v>
      </c>
    </row>
    <row r="2338" spans="1:2" ht="15">
      <c r="A2338" s="113" t="s">
        <v>6645</v>
      </c>
      <c r="B2338" s="112" t="s">
        <v>11323</v>
      </c>
    </row>
    <row r="2339" spans="1:2" ht="15">
      <c r="A2339" s="113" t="s">
        <v>6646</v>
      </c>
      <c r="B2339" s="112" t="s">
        <v>11323</v>
      </c>
    </row>
    <row r="2340" spans="1:2" ht="15">
      <c r="A2340" s="113" t="s">
        <v>6647</v>
      </c>
      <c r="B2340" s="112" t="s">
        <v>11323</v>
      </c>
    </row>
    <row r="2341" spans="1:2" ht="15">
      <c r="A2341" s="113" t="s">
        <v>6648</v>
      </c>
      <c r="B2341" s="112" t="s">
        <v>11323</v>
      </c>
    </row>
    <row r="2342" spans="1:2" ht="15">
      <c r="A2342" s="113" t="s">
        <v>6649</v>
      </c>
      <c r="B2342" s="112" t="s">
        <v>11323</v>
      </c>
    </row>
    <row r="2343" spans="1:2" ht="15">
      <c r="A2343" s="113" t="s">
        <v>6650</v>
      </c>
      <c r="B2343" s="112" t="s">
        <v>11323</v>
      </c>
    </row>
    <row r="2344" spans="1:2" ht="15">
      <c r="A2344" s="113" t="s">
        <v>6651</v>
      </c>
      <c r="B2344" s="112" t="s">
        <v>11323</v>
      </c>
    </row>
    <row r="2345" spans="1:2" ht="15">
      <c r="A2345" s="113" t="s">
        <v>6652</v>
      </c>
      <c r="B2345" s="112" t="s">
        <v>11323</v>
      </c>
    </row>
    <row r="2346" spans="1:2" ht="15">
      <c r="A2346" s="113" t="s">
        <v>6653</v>
      </c>
      <c r="B2346" s="112" t="s">
        <v>11323</v>
      </c>
    </row>
    <row r="2347" spans="1:2" ht="15">
      <c r="A2347" s="113" t="s">
        <v>6654</v>
      </c>
      <c r="B2347" s="112" t="s">
        <v>11323</v>
      </c>
    </row>
    <row r="2348" spans="1:2" ht="15">
      <c r="A2348" s="113" t="s">
        <v>6655</v>
      </c>
      <c r="B2348" s="112" t="s">
        <v>11323</v>
      </c>
    </row>
    <row r="2349" spans="1:2" ht="15">
      <c r="A2349" s="113" t="s">
        <v>6656</v>
      </c>
      <c r="B2349" s="112" t="s">
        <v>11323</v>
      </c>
    </row>
    <row r="2350" spans="1:2" ht="15">
      <c r="A2350" s="113" t="s">
        <v>6657</v>
      </c>
      <c r="B2350" s="112" t="s">
        <v>11323</v>
      </c>
    </row>
    <row r="2351" spans="1:2" ht="15">
      <c r="A2351" s="113" t="s">
        <v>6658</v>
      </c>
      <c r="B2351" s="112" t="s">
        <v>11323</v>
      </c>
    </row>
    <row r="2352" spans="1:2" ht="15">
      <c r="A2352" s="113" t="s">
        <v>6659</v>
      </c>
      <c r="B2352" s="112" t="s">
        <v>11323</v>
      </c>
    </row>
    <row r="2353" spans="1:2" ht="15">
      <c r="A2353" s="113" t="s">
        <v>6660</v>
      </c>
      <c r="B2353" s="112" t="s">
        <v>11323</v>
      </c>
    </row>
    <row r="2354" spans="1:2" ht="15">
      <c r="A2354" s="113" t="s">
        <v>6661</v>
      </c>
      <c r="B2354" s="112" t="s">
        <v>11323</v>
      </c>
    </row>
    <row r="2355" spans="1:2" ht="15">
      <c r="A2355" s="113" t="s">
        <v>6662</v>
      </c>
      <c r="B2355" s="112" t="s">
        <v>11323</v>
      </c>
    </row>
    <row r="2356" spans="1:2" ht="15">
      <c r="A2356" s="113" t="s">
        <v>6663</v>
      </c>
      <c r="B2356" s="112" t="s">
        <v>11323</v>
      </c>
    </row>
    <row r="2357" spans="1:2" ht="15">
      <c r="A2357" s="113" t="s">
        <v>6664</v>
      </c>
      <c r="B2357" s="112" t="s">
        <v>11323</v>
      </c>
    </row>
    <row r="2358" spans="1:2" ht="15">
      <c r="A2358" s="113" t="s">
        <v>6665</v>
      </c>
      <c r="B2358" s="112" t="s">
        <v>11323</v>
      </c>
    </row>
    <row r="2359" spans="1:2" ht="15">
      <c r="A2359" s="113" t="s">
        <v>6666</v>
      </c>
      <c r="B2359" s="112" t="s">
        <v>11323</v>
      </c>
    </row>
    <row r="2360" spans="1:2" ht="15">
      <c r="A2360" s="113" t="s">
        <v>6667</v>
      </c>
      <c r="B2360" s="112" t="s">
        <v>11323</v>
      </c>
    </row>
    <row r="2361" spans="1:2" ht="15">
      <c r="A2361" s="113" t="s">
        <v>6668</v>
      </c>
      <c r="B2361" s="112" t="s">
        <v>11323</v>
      </c>
    </row>
    <row r="2362" spans="1:2" ht="15">
      <c r="A2362" s="113" t="s">
        <v>6669</v>
      </c>
      <c r="B2362" s="112" t="s">
        <v>11323</v>
      </c>
    </row>
    <row r="2363" spans="1:2" ht="15">
      <c r="A2363" s="113" t="s">
        <v>6670</v>
      </c>
      <c r="B2363" s="112" t="s">
        <v>11323</v>
      </c>
    </row>
    <row r="2364" spans="1:2" ht="15">
      <c r="A2364" s="113" t="s">
        <v>6671</v>
      </c>
      <c r="B2364" s="112" t="s">
        <v>11323</v>
      </c>
    </row>
    <row r="2365" spans="1:2" ht="15">
      <c r="A2365" s="113" t="s">
        <v>6672</v>
      </c>
      <c r="B2365" s="112" t="s">
        <v>11323</v>
      </c>
    </row>
    <row r="2366" spans="1:2" ht="15">
      <c r="A2366" s="113" t="s">
        <v>6673</v>
      </c>
      <c r="B2366" s="112" t="s">
        <v>11323</v>
      </c>
    </row>
    <row r="2367" spans="1:2" ht="15">
      <c r="A2367" s="113" t="s">
        <v>6674</v>
      </c>
      <c r="B2367" s="112" t="s">
        <v>11323</v>
      </c>
    </row>
    <row r="2368" spans="1:2" ht="15">
      <c r="A2368" s="113" t="s">
        <v>6675</v>
      </c>
      <c r="B2368" s="112" t="s">
        <v>11323</v>
      </c>
    </row>
    <row r="2369" spans="1:2" ht="15">
      <c r="A2369" s="113" t="s">
        <v>6676</v>
      </c>
      <c r="B2369" s="112" t="s">
        <v>11323</v>
      </c>
    </row>
    <row r="2370" spans="1:2" ht="15">
      <c r="A2370" s="113" t="s">
        <v>6677</v>
      </c>
      <c r="B2370" s="112" t="s">
        <v>11323</v>
      </c>
    </row>
    <row r="2371" spans="1:2" ht="15">
      <c r="A2371" s="113" t="s">
        <v>6678</v>
      </c>
      <c r="B2371" s="112" t="s">
        <v>11323</v>
      </c>
    </row>
    <row r="2372" spans="1:2" ht="15">
      <c r="A2372" s="113" t="s">
        <v>6679</v>
      </c>
      <c r="B2372" s="112" t="s">
        <v>11323</v>
      </c>
    </row>
    <row r="2373" spans="1:2" ht="15">
      <c r="A2373" s="113" t="s">
        <v>6680</v>
      </c>
      <c r="B2373" s="112" t="s">
        <v>11323</v>
      </c>
    </row>
    <row r="2374" spans="1:2" ht="15">
      <c r="A2374" s="113" t="s">
        <v>6681</v>
      </c>
      <c r="B2374" s="112" t="s">
        <v>11323</v>
      </c>
    </row>
    <row r="2375" spans="1:2" ht="15">
      <c r="A2375" s="113" t="s">
        <v>6682</v>
      </c>
      <c r="B2375" s="112" t="s">
        <v>11323</v>
      </c>
    </row>
    <row r="2376" spans="1:2" ht="15">
      <c r="A2376" s="113" t="s">
        <v>6683</v>
      </c>
      <c r="B2376" s="112" t="s">
        <v>11323</v>
      </c>
    </row>
    <row r="2377" spans="1:2" ht="15">
      <c r="A2377" s="113" t="s">
        <v>6684</v>
      </c>
      <c r="B2377" s="112" t="s">
        <v>11323</v>
      </c>
    </row>
    <row r="2378" spans="1:2" ht="15">
      <c r="A2378" s="113" t="s">
        <v>6685</v>
      </c>
      <c r="B2378" s="112" t="s">
        <v>11323</v>
      </c>
    </row>
    <row r="2379" spans="1:2" ht="15">
      <c r="A2379" s="113" t="s">
        <v>6686</v>
      </c>
      <c r="B2379" s="112" t="s">
        <v>11323</v>
      </c>
    </row>
    <row r="2380" spans="1:2" ht="15">
      <c r="A2380" s="113" t="s">
        <v>6687</v>
      </c>
      <c r="B2380" s="112" t="s">
        <v>11323</v>
      </c>
    </row>
    <row r="2381" spans="1:2" ht="15">
      <c r="A2381" s="113" t="s">
        <v>6688</v>
      </c>
      <c r="B2381" s="112" t="s">
        <v>11323</v>
      </c>
    </row>
    <row r="2382" spans="1:2" ht="15">
      <c r="A2382" s="113" t="s">
        <v>6689</v>
      </c>
      <c r="B2382" s="112" t="s">
        <v>11323</v>
      </c>
    </row>
    <row r="2383" spans="1:2" ht="15">
      <c r="A2383" s="113" t="s">
        <v>6690</v>
      </c>
      <c r="B2383" s="112" t="s">
        <v>11323</v>
      </c>
    </row>
    <row r="2384" spans="1:2" ht="15">
      <c r="A2384" s="113" t="s">
        <v>6691</v>
      </c>
      <c r="B2384" s="112" t="s">
        <v>11323</v>
      </c>
    </row>
    <row r="2385" spans="1:2" ht="15">
      <c r="A2385" s="113" t="s">
        <v>6692</v>
      </c>
      <c r="B2385" s="112" t="s">
        <v>11323</v>
      </c>
    </row>
    <row r="2386" spans="1:2" ht="15">
      <c r="A2386" s="113" t="s">
        <v>6693</v>
      </c>
      <c r="B2386" s="112" t="s">
        <v>11323</v>
      </c>
    </row>
    <row r="2387" spans="1:2" ht="15">
      <c r="A2387" s="113" t="s">
        <v>6694</v>
      </c>
      <c r="B2387" s="112" t="s">
        <v>11323</v>
      </c>
    </row>
    <row r="2388" spans="1:2" ht="15">
      <c r="A2388" s="113" t="s">
        <v>6695</v>
      </c>
      <c r="B2388" s="112" t="s">
        <v>11323</v>
      </c>
    </row>
    <row r="2389" spans="1:2" ht="15">
      <c r="A2389" s="113" t="s">
        <v>6696</v>
      </c>
      <c r="B2389" s="112" t="s">
        <v>11323</v>
      </c>
    </row>
    <row r="2390" spans="1:2" ht="15">
      <c r="A2390" s="113" t="s">
        <v>6697</v>
      </c>
      <c r="B2390" s="112" t="s">
        <v>11323</v>
      </c>
    </row>
    <row r="2391" spans="1:2" ht="15">
      <c r="A2391" s="113" t="s">
        <v>6698</v>
      </c>
      <c r="B2391" s="112" t="s">
        <v>11323</v>
      </c>
    </row>
    <row r="2392" spans="1:2" ht="15">
      <c r="A2392" s="113" t="s">
        <v>6699</v>
      </c>
      <c r="B2392" s="112" t="s">
        <v>11323</v>
      </c>
    </row>
    <row r="2393" spans="1:2" ht="15">
      <c r="A2393" s="113" t="s">
        <v>6700</v>
      </c>
      <c r="B2393" s="112" t="s">
        <v>11323</v>
      </c>
    </row>
    <row r="2394" spans="1:2" ht="15">
      <c r="A2394" s="113" t="s">
        <v>6701</v>
      </c>
      <c r="B2394" s="112" t="s">
        <v>11323</v>
      </c>
    </row>
    <row r="2395" spans="1:2" ht="15">
      <c r="A2395" s="113" t="s">
        <v>6702</v>
      </c>
      <c r="B2395" s="112" t="s">
        <v>11323</v>
      </c>
    </row>
    <row r="2396" spans="1:2" ht="15">
      <c r="A2396" s="113" t="s">
        <v>6703</v>
      </c>
      <c r="B2396" s="112" t="s">
        <v>11323</v>
      </c>
    </row>
    <row r="2397" spans="1:2" ht="15">
      <c r="A2397" s="113" t="s">
        <v>6704</v>
      </c>
      <c r="B2397" s="112" t="s">
        <v>11323</v>
      </c>
    </row>
    <row r="2398" spans="1:2" ht="15">
      <c r="A2398" s="113" t="s">
        <v>6705</v>
      </c>
      <c r="B2398" s="112" t="s">
        <v>11323</v>
      </c>
    </row>
    <row r="2399" spans="1:2" ht="15">
      <c r="A2399" s="113" t="s">
        <v>6706</v>
      </c>
      <c r="B2399" s="112" t="s">
        <v>11323</v>
      </c>
    </row>
    <row r="2400" spans="1:2" ht="15">
      <c r="A2400" s="113" t="s">
        <v>6707</v>
      </c>
      <c r="B2400" s="112" t="s">
        <v>11323</v>
      </c>
    </row>
    <row r="2401" spans="1:2" ht="15">
      <c r="A2401" s="113" t="s">
        <v>6708</v>
      </c>
      <c r="B2401" s="112" t="s">
        <v>11323</v>
      </c>
    </row>
    <row r="2402" spans="1:2" ht="15">
      <c r="A2402" s="113" t="s">
        <v>6709</v>
      </c>
      <c r="B2402" s="112" t="s">
        <v>11323</v>
      </c>
    </row>
    <row r="2403" spans="1:2" ht="15">
      <c r="A2403" s="113" t="s">
        <v>6710</v>
      </c>
      <c r="B2403" s="112" t="s">
        <v>11323</v>
      </c>
    </row>
    <row r="2404" spans="1:2" ht="15">
      <c r="A2404" s="113" t="s">
        <v>6711</v>
      </c>
      <c r="B2404" s="112" t="s">
        <v>11323</v>
      </c>
    </row>
    <row r="2405" spans="1:2" ht="15">
      <c r="A2405" s="113" t="s">
        <v>6712</v>
      </c>
      <c r="B2405" s="112" t="s">
        <v>11323</v>
      </c>
    </row>
    <row r="2406" spans="1:2" ht="15">
      <c r="A2406" s="113" t="s">
        <v>6713</v>
      </c>
      <c r="B2406" s="112" t="s">
        <v>11323</v>
      </c>
    </row>
    <row r="2407" spans="1:2" ht="15">
      <c r="A2407" s="113" t="s">
        <v>6714</v>
      </c>
      <c r="B2407" s="112" t="s">
        <v>11323</v>
      </c>
    </row>
    <row r="2408" spans="1:2" ht="15">
      <c r="A2408" s="113" t="s">
        <v>6715</v>
      </c>
      <c r="B2408" s="112" t="s">
        <v>11323</v>
      </c>
    </row>
    <row r="2409" spans="1:2" ht="15">
      <c r="A2409" s="113" t="s">
        <v>6716</v>
      </c>
      <c r="B2409" s="112" t="s">
        <v>11323</v>
      </c>
    </row>
    <row r="2410" spans="1:2" ht="15">
      <c r="A2410" s="113" t="s">
        <v>6717</v>
      </c>
      <c r="B2410" s="112" t="s">
        <v>11323</v>
      </c>
    </row>
    <row r="2411" spans="1:2" ht="15">
      <c r="A2411" s="113" t="s">
        <v>6718</v>
      </c>
      <c r="B2411" s="112" t="s">
        <v>11323</v>
      </c>
    </row>
    <row r="2412" spans="1:2" ht="15">
      <c r="A2412" s="113" t="s">
        <v>6719</v>
      </c>
      <c r="B2412" s="112" t="s">
        <v>11323</v>
      </c>
    </row>
    <row r="2413" spans="1:2" ht="15">
      <c r="A2413" s="113" t="s">
        <v>6720</v>
      </c>
      <c r="B2413" s="112" t="s">
        <v>11323</v>
      </c>
    </row>
    <row r="2414" spans="1:2" ht="15">
      <c r="A2414" s="113" t="s">
        <v>6721</v>
      </c>
      <c r="B2414" s="112" t="s">
        <v>11323</v>
      </c>
    </row>
    <row r="2415" spans="1:2" ht="15">
      <c r="A2415" s="113" t="s">
        <v>6722</v>
      </c>
      <c r="B2415" s="112" t="s">
        <v>11323</v>
      </c>
    </row>
    <row r="2416" spans="1:2" ht="15">
      <c r="A2416" s="113" t="s">
        <v>6723</v>
      </c>
      <c r="B2416" s="112" t="s">
        <v>11323</v>
      </c>
    </row>
    <row r="2417" spans="1:2" ht="15">
      <c r="A2417" s="113" t="s">
        <v>6724</v>
      </c>
      <c r="B2417" s="112" t="s">
        <v>11323</v>
      </c>
    </row>
    <row r="2418" spans="1:2" ht="15">
      <c r="A2418" s="113" t="s">
        <v>6725</v>
      </c>
      <c r="B2418" s="112" t="s">
        <v>11323</v>
      </c>
    </row>
    <row r="2419" spans="1:2" ht="15">
      <c r="A2419" s="113" t="s">
        <v>6726</v>
      </c>
      <c r="B2419" s="112" t="s">
        <v>11323</v>
      </c>
    </row>
    <row r="2420" spans="1:2" ht="15">
      <c r="A2420" s="113" t="s">
        <v>6727</v>
      </c>
      <c r="B2420" s="112" t="s">
        <v>11323</v>
      </c>
    </row>
    <row r="2421" spans="1:2" ht="15">
      <c r="A2421" s="113" t="s">
        <v>6728</v>
      </c>
      <c r="B2421" s="112" t="s">
        <v>11323</v>
      </c>
    </row>
    <row r="2422" spans="1:2" ht="15">
      <c r="A2422" s="113" t="s">
        <v>6729</v>
      </c>
      <c r="B2422" s="112" t="s">
        <v>11323</v>
      </c>
    </row>
    <row r="2423" spans="1:2" ht="15">
      <c r="A2423" s="113" t="s">
        <v>6730</v>
      </c>
      <c r="B2423" s="112" t="s">
        <v>11323</v>
      </c>
    </row>
    <row r="2424" spans="1:2" ht="15">
      <c r="A2424" s="113" t="s">
        <v>6731</v>
      </c>
      <c r="B2424" s="112" t="s">
        <v>11323</v>
      </c>
    </row>
    <row r="2425" spans="1:2" ht="15">
      <c r="A2425" s="113" t="s">
        <v>6732</v>
      </c>
      <c r="B2425" s="112" t="s">
        <v>11323</v>
      </c>
    </row>
    <row r="2426" spans="1:2" ht="15">
      <c r="A2426" s="113" t="s">
        <v>6733</v>
      </c>
      <c r="B2426" s="112" t="s">
        <v>11323</v>
      </c>
    </row>
    <row r="2427" spans="1:2" ht="15">
      <c r="A2427" s="113" t="s">
        <v>6734</v>
      </c>
      <c r="B2427" s="112" t="s">
        <v>11323</v>
      </c>
    </row>
    <row r="2428" spans="1:2" ht="15">
      <c r="A2428" s="113" t="s">
        <v>6735</v>
      </c>
      <c r="B2428" s="112" t="s">
        <v>11323</v>
      </c>
    </row>
    <row r="2429" spans="1:2" ht="15">
      <c r="A2429" s="113" t="s">
        <v>6736</v>
      </c>
      <c r="B2429" s="112" t="s">
        <v>11323</v>
      </c>
    </row>
    <row r="2430" spans="1:2" ht="15">
      <c r="A2430" s="113" t="s">
        <v>6737</v>
      </c>
      <c r="B2430" s="112" t="s">
        <v>11323</v>
      </c>
    </row>
    <row r="2431" spans="1:2" ht="15">
      <c r="A2431" s="113" t="s">
        <v>6738</v>
      </c>
      <c r="B2431" s="112" t="s">
        <v>11323</v>
      </c>
    </row>
    <row r="2432" spans="1:2" ht="15">
      <c r="A2432" s="113" t="s">
        <v>6739</v>
      </c>
      <c r="B2432" s="112" t="s">
        <v>11323</v>
      </c>
    </row>
    <row r="2433" spans="1:2" ht="15">
      <c r="A2433" s="113" t="s">
        <v>6740</v>
      </c>
      <c r="B2433" s="112" t="s">
        <v>11323</v>
      </c>
    </row>
    <row r="2434" spans="1:2" ht="15">
      <c r="A2434" s="113" t="s">
        <v>6741</v>
      </c>
      <c r="B2434" s="112" t="s">
        <v>11323</v>
      </c>
    </row>
    <row r="2435" spans="1:2" ht="15">
      <c r="A2435" s="113" t="s">
        <v>6742</v>
      </c>
      <c r="B2435" s="112" t="s">
        <v>11323</v>
      </c>
    </row>
    <row r="2436" spans="1:2" ht="15">
      <c r="A2436" s="113" t="s">
        <v>6743</v>
      </c>
      <c r="B2436" s="112" t="s">
        <v>11323</v>
      </c>
    </row>
    <row r="2437" spans="1:2" ht="15">
      <c r="A2437" s="113" t="s">
        <v>6744</v>
      </c>
      <c r="B2437" s="112" t="s">
        <v>11323</v>
      </c>
    </row>
    <row r="2438" spans="1:2" ht="15">
      <c r="A2438" s="113" t="s">
        <v>6745</v>
      </c>
      <c r="B2438" s="112" t="s">
        <v>11323</v>
      </c>
    </row>
    <row r="2439" spans="1:2" ht="15">
      <c r="A2439" s="113" t="s">
        <v>6746</v>
      </c>
      <c r="B2439" s="112" t="s">
        <v>11323</v>
      </c>
    </row>
    <row r="2440" spans="1:2" ht="15">
      <c r="A2440" s="113" t="s">
        <v>6747</v>
      </c>
      <c r="B2440" s="112" t="s">
        <v>11323</v>
      </c>
    </row>
    <row r="2441" spans="1:2" ht="15">
      <c r="A2441" s="113" t="s">
        <v>6748</v>
      </c>
      <c r="B2441" s="112" t="s">
        <v>11323</v>
      </c>
    </row>
    <row r="2442" spans="1:2" ht="15">
      <c r="A2442" s="113" t="s">
        <v>6749</v>
      </c>
      <c r="B2442" s="112" t="s">
        <v>11323</v>
      </c>
    </row>
    <row r="2443" spans="1:2" ht="15">
      <c r="A2443" s="113" t="s">
        <v>6750</v>
      </c>
      <c r="B2443" s="112" t="s">
        <v>11323</v>
      </c>
    </row>
    <row r="2444" spans="1:2" ht="15">
      <c r="A2444" s="113" t="s">
        <v>6751</v>
      </c>
      <c r="B2444" s="112" t="s">
        <v>11323</v>
      </c>
    </row>
    <row r="2445" spans="1:2" ht="15">
      <c r="A2445" s="113" t="s">
        <v>6752</v>
      </c>
      <c r="B2445" s="112" t="s">
        <v>11323</v>
      </c>
    </row>
    <row r="2446" spans="1:2" ht="15">
      <c r="A2446" s="113" t="s">
        <v>6753</v>
      </c>
      <c r="B2446" s="112" t="s">
        <v>11323</v>
      </c>
    </row>
    <row r="2447" spans="1:2" ht="15">
      <c r="A2447" s="113" t="s">
        <v>6754</v>
      </c>
      <c r="B2447" s="112" t="s">
        <v>11323</v>
      </c>
    </row>
    <row r="2448" spans="1:2" ht="15">
      <c r="A2448" s="113" t="s">
        <v>6755</v>
      </c>
      <c r="B2448" s="112" t="s">
        <v>11323</v>
      </c>
    </row>
    <row r="2449" spans="1:2" ht="15">
      <c r="A2449" s="113" t="s">
        <v>6756</v>
      </c>
      <c r="B2449" s="112" t="s">
        <v>11323</v>
      </c>
    </row>
    <row r="2450" spans="1:2" ht="15">
      <c r="A2450" s="113" t="s">
        <v>6757</v>
      </c>
      <c r="B2450" s="112" t="s">
        <v>11323</v>
      </c>
    </row>
    <row r="2451" spans="1:2" ht="15">
      <c r="A2451" s="113" t="s">
        <v>6758</v>
      </c>
      <c r="B2451" s="112" t="s">
        <v>11323</v>
      </c>
    </row>
    <row r="2452" spans="1:2" ht="15">
      <c r="A2452" s="113" t="s">
        <v>6759</v>
      </c>
      <c r="B2452" s="112" t="s">
        <v>11323</v>
      </c>
    </row>
    <row r="2453" spans="1:2" ht="15">
      <c r="A2453" s="113" t="s">
        <v>6760</v>
      </c>
      <c r="B2453" s="112" t="s">
        <v>11323</v>
      </c>
    </row>
    <row r="2454" spans="1:2" ht="15">
      <c r="A2454" s="113" t="s">
        <v>6761</v>
      </c>
      <c r="B2454" s="112" t="s">
        <v>11323</v>
      </c>
    </row>
    <row r="2455" spans="1:2" ht="15">
      <c r="A2455" s="113" t="s">
        <v>6762</v>
      </c>
      <c r="B2455" s="112" t="s">
        <v>11323</v>
      </c>
    </row>
    <row r="2456" spans="1:2" ht="15">
      <c r="A2456" s="113" t="s">
        <v>6763</v>
      </c>
      <c r="B2456" s="112" t="s">
        <v>11323</v>
      </c>
    </row>
    <row r="2457" spans="1:2" ht="15">
      <c r="A2457" s="113" t="s">
        <v>6764</v>
      </c>
      <c r="B2457" s="112" t="s">
        <v>11323</v>
      </c>
    </row>
    <row r="2458" spans="1:2" ht="15">
      <c r="A2458" s="113" t="s">
        <v>6765</v>
      </c>
      <c r="B2458" s="112" t="s">
        <v>11323</v>
      </c>
    </row>
    <row r="2459" spans="1:2" ht="15">
      <c r="A2459" s="113" t="s">
        <v>6766</v>
      </c>
      <c r="B2459" s="112" t="s">
        <v>11323</v>
      </c>
    </row>
    <row r="2460" spans="1:2" ht="15">
      <c r="A2460" s="113" t="s">
        <v>6767</v>
      </c>
      <c r="B2460" s="112" t="s">
        <v>11323</v>
      </c>
    </row>
    <row r="2461" spans="1:2" ht="15">
      <c r="A2461" s="113" t="s">
        <v>6768</v>
      </c>
      <c r="B2461" s="112" t="s">
        <v>11323</v>
      </c>
    </row>
    <row r="2462" spans="1:2" ht="15">
      <c r="A2462" s="113" t="s">
        <v>6769</v>
      </c>
      <c r="B2462" s="112" t="s">
        <v>11323</v>
      </c>
    </row>
    <row r="2463" spans="1:2" ht="15">
      <c r="A2463" s="113" t="s">
        <v>6770</v>
      </c>
      <c r="B2463" s="112" t="s">
        <v>11323</v>
      </c>
    </row>
    <row r="2464" spans="1:2" ht="15">
      <c r="A2464" s="113" t="s">
        <v>6771</v>
      </c>
      <c r="B2464" s="112" t="s">
        <v>11323</v>
      </c>
    </row>
    <row r="2465" spans="1:2" ht="15">
      <c r="A2465" s="113" t="s">
        <v>6772</v>
      </c>
      <c r="B2465" s="112" t="s">
        <v>11323</v>
      </c>
    </row>
    <row r="2466" spans="1:2" ht="15">
      <c r="A2466" s="113" t="s">
        <v>6773</v>
      </c>
      <c r="B2466" s="112" t="s">
        <v>11323</v>
      </c>
    </row>
    <row r="2467" spans="1:2" ht="15">
      <c r="A2467" s="113" t="s">
        <v>6774</v>
      </c>
      <c r="B2467" s="112" t="s">
        <v>11323</v>
      </c>
    </row>
    <row r="2468" spans="1:2" ht="15">
      <c r="A2468" s="113" t="s">
        <v>6775</v>
      </c>
      <c r="B2468" s="112" t="s">
        <v>11323</v>
      </c>
    </row>
    <row r="2469" spans="1:2" ht="15">
      <c r="A2469" s="113" t="s">
        <v>6776</v>
      </c>
      <c r="B2469" s="112" t="s">
        <v>11323</v>
      </c>
    </row>
    <row r="2470" spans="1:2" ht="15">
      <c r="A2470" s="113" t="s">
        <v>6777</v>
      </c>
      <c r="B2470" s="112" t="s">
        <v>11323</v>
      </c>
    </row>
    <row r="2471" spans="1:2" ht="15">
      <c r="A2471" s="113" t="s">
        <v>6778</v>
      </c>
      <c r="B2471" s="112" t="s">
        <v>11323</v>
      </c>
    </row>
    <row r="2472" spans="1:2" ht="15">
      <c r="A2472" s="113" t="s">
        <v>6779</v>
      </c>
      <c r="B2472" s="112" t="s">
        <v>11323</v>
      </c>
    </row>
    <row r="2473" spans="1:2" ht="15">
      <c r="A2473" s="113" t="s">
        <v>6780</v>
      </c>
      <c r="B2473" s="112" t="s">
        <v>11323</v>
      </c>
    </row>
    <row r="2474" spans="1:2" ht="15">
      <c r="A2474" s="113" t="s">
        <v>6781</v>
      </c>
      <c r="B2474" s="112" t="s">
        <v>11323</v>
      </c>
    </row>
    <row r="2475" spans="1:2" ht="15">
      <c r="A2475" s="113" t="s">
        <v>6782</v>
      </c>
      <c r="B2475" s="112" t="s">
        <v>11323</v>
      </c>
    </row>
    <row r="2476" spans="1:2" ht="15">
      <c r="A2476" s="113" t="s">
        <v>6783</v>
      </c>
      <c r="B2476" s="112" t="s">
        <v>11323</v>
      </c>
    </row>
    <row r="2477" spans="1:2" ht="15">
      <c r="A2477" s="113" t="s">
        <v>6784</v>
      </c>
      <c r="B2477" s="112" t="s">
        <v>11323</v>
      </c>
    </row>
    <row r="2478" spans="1:2" ht="15">
      <c r="A2478" s="113" t="s">
        <v>6785</v>
      </c>
      <c r="B2478" s="112" t="s">
        <v>11323</v>
      </c>
    </row>
    <row r="2479" spans="1:2" ht="15">
      <c r="A2479" s="113" t="s">
        <v>6786</v>
      </c>
      <c r="B2479" s="112" t="s">
        <v>11323</v>
      </c>
    </row>
    <row r="2480" spans="1:2" ht="15">
      <c r="A2480" s="113" t="s">
        <v>6787</v>
      </c>
      <c r="B2480" s="112" t="s">
        <v>11323</v>
      </c>
    </row>
    <row r="2481" spans="1:2" ht="15">
      <c r="A2481" s="113" t="s">
        <v>6788</v>
      </c>
      <c r="B2481" s="112" t="s">
        <v>11323</v>
      </c>
    </row>
    <row r="2482" spans="1:2" ht="15">
      <c r="A2482" s="113" t="s">
        <v>6789</v>
      </c>
      <c r="B2482" s="112" t="s">
        <v>11323</v>
      </c>
    </row>
    <row r="2483" spans="1:2" ht="15">
      <c r="A2483" s="113" t="s">
        <v>6790</v>
      </c>
      <c r="B2483" s="112" t="s">
        <v>11323</v>
      </c>
    </row>
    <row r="2484" spans="1:2" ht="15">
      <c r="A2484" s="113" t="s">
        <v>6791</v>
      </c>
      <c r="B2484" s="112" t="s">
        <v>11323</v>
      </c>
    </row>
    <row r="2485" spans="1:2" ht="15">
      <c r="A2485" s="113" t="s">
        <v>6792</v>
      </c>
      <c r="B2485" s="112" t="s">
        <v>11323</v>
      </c>
    </row>
    <row r="2486" spans="1:2" ht="15">
      <c r="A2486" s="113" t="s">
        <v>6793</v>
      </c>
      <c r="B2486" s="112" t="s">
        <v>11323</v>
      </c>
    </row>
    <row r="2487" spans="1:2" ht="15">
      <c r="A2487" s="113" t="s">
        <v>6794</v>
      </c>
      <c r="B2487" s="112" t="s">
        <v>11323</v>
      </c>
    </row>
    <row r="2488" spans="1:2" ht="15">
      <c r="A2488" s="113" t="s">
        <v>6795</v>
      </c>
      <c r="B2488" s="112" t="s">
        <v>11323</v>
      </c>
    </row>
    <row r="2489" spans="1:2" ht="15">
      <c r="A2489" s="113" t="s">
        <v>6796</v>
      </c>
      <c r="B2489" s="112" t="s">
        <v>11323</v>
      </c>
    </row>
    <row r="2490" spans="1:2" ht="15">
      <c r="A2490" s="113" t="s">
        <v>6797</v>
      </c>
      <c r="B2490" s="112" t="s">
        <v>11323</v>
      </c>
    </row>
    <row r="2491" spans="1:2" ht="15">
      <c r="A2491" s="113" t="s">
        <v>6798</v>
      </c>
      <c r="B2491" s="112" t="s">
        <v>11323</v>
      </c>
    </row>
    <row r="2492" spans="1:2" ht="15">
      <c r="A2492" s="113" t="s">
        <v>6799</v>
      </c>
      <c r="B2492" s="112" t="s">
        <v>11323</v>
      </c>
    </row>
    <row r="2493" spans="1:2" ht="15">
      <c r="A2493" s="113" t="s">
        <v>6800</v>
      </c>
      <c r="B2493" s="112" t="s">
        <v>11323</v>
      </c>
    </row>
    <row r="2494" spans="1:2" ht="15">
      <c r="A2494" s="113" t="s">
        <v>6801</v>
      </c>
      <c r="B2494" s="112" t="s">
        <v>11323</v>
      </c>
    </row>
    <row r="2495" spans="1:2" ht="15">
      <c r="A2495" s="113" t="s">
        <v>6802</v>
      </c>
      <c r="B2495" s="112" t="s">
        <v>11323</v>
      </c>
    </row>
    <row r="2496" spans="1:2" ht="15">
      <c r="A2496" s="113" t="s">
        <v>6803</v>
      </c>
      <c r="B2496" s="112" t="s">
        <v>11323</v>
      </c>
    </row>
    <row r="2497" spans="1:2" ht="15">
      <c r="A2497" s="113" t="s">
        <v>6804</v>
      </c>
      <c r="B2497" s="112" t="s">
        <v>11323</v>
      </c>
    </row>
    <row r="2498" spans="1:2" ht="15">
      <c r="A2498" s="113" t="s">
        <v>6805</v>
      </c>
      <c r="B2498" s="112" t="s">
        <v>11323</v>
      </c>
    </row>
    <row r="2499" spans="1:2" ht="15">
      <c r="A2499" s="113" t="s">
        <v>6806</v>
      </c>
      <c r="B2499" s="112" t="s">
        <v>11323</v>
      </c>
    </row>
    <row r="2500" spans="1:2" ht="15">
      <c r="A2500" s="113" t="s">
        <v>6807</v>
      </c>
      <c r="B2500" s="112" t="s">
        <v>11323</v>
      </c>
    </row>
    <row r="2501" spans="1:2" ht="15">
      <c r="A2501" s="113" t="s">
        <v>6808</v>
      </c>
      <c r="B2501" s="112" t="s">
        <v>11323</v>
      </c>
    </row>
    <row r="2502" spans="1:2" ht="15">
      <c r="A2502" s="113" t="s">
        <v>6809</v>
      </c>
      <c r="B2502" s="112" t="s">
        <v>11323</v>
      </c>
    </row>
    <row r="2503" spans="1:2" ht="15">
      <c r="A2503" s="113" t="s">
        <v>6810</v>
      </c>
      <c r="B2503" s="112" t="s">
        <v>11323</v>
      </c>
    </row>
    <row r="2504" spans="1:2" ht="15">
      <c r="A2504" s="113" t="s">
        <v>6811</v>
      </c>
      <c r="B2504" s="112" t="s">
        <v>11323</v>
      </c>
    </row>
    <row r="2505" spans="1:2" ht="15">
      <c r="A2505" s="113" t="s">
        <v>6812</v>
      </c>
      <c r="B2505" s="112" t="s">
        <v>11323</v>
      </c>
    </row>
    <row r="2506" spans="1:2" ht="15">
      <c r="A2506" s="113" t="s">
        <v>6813</v>
      </c>
      <c r="B2506" s="112" t="s">
        <v>11323</v>
      </c>
    </row>
    <row r="2507" spans="1:2" ht="15">
      <c r="A2507" s="113" t="s">
        <v>6814</v>
      </c>
      <c r="B2507" s="112" t="s">
        <v>11323</v>
      </c>
    </row>
    <row r="2508" spans="1:2" ht="15">
      <c r="A2508" s="113" t="s">
        <v>6815</v>
      </c>
      <c r="B2508" s="112" t="s">
        <v>11323</v>
      </c>
    </row>
    <row r="2509" spans="1:2" ht="15">
      <c r="A2509" s="113" t="s">
        <v>6816</v>
      </c>
      <c r="B2509" s="112" t="s">
        <v>11323</v>
      </c>
    </row>
    <row r="2510" spans="1:2" ht="15">
      <c r="A2510" s="113" t="s">
        <v>6817</v>
      </c>
      <c r="B2510" s="112" t="s">
        <v>11323</v>
      </c>
    </row>
    <row r="2511" spans="1:2" ht="15">
      <c r="A2511" s="113" t="s">
        <v>6818</v>
      </c>
      <c r="B2511" s="112" t="s">
        <v>11323</v>
      </c>
    </row>
    <row r="2512" spans="1:2" ht="15">
      <c r="A2512" s="113" t="s">
        <v>6819</v>
      </c>
      <c r="B2512" s="112" t="s">
        <v>11323</v>
      </c>
    </row>
    <row r="2513" spans="1:2" ht="15">
      <c r="A2513" s="113" t="s">
        <v>6820</v>
      </c>
      <c r="B2513" s="112" t="s">
        <v>11323</v>
      </c>
    </row>
    <row r="2514" spans="1:2" ht="15">
      <c r="A2514" s="113" t="s">
        <v>6821</v>
      </c>
      <c r="B2514" s="112" t="s">
        <v>11323</v>
      </c>
    </row>
    <row r="2515" spans="1:2" ht="15">
      <c r="A2515" s="113" t="s">
        <v>6822</v>
      </c>
      <c r="B2515" s="112" t="s">
        <v>11323</v>
      </c>
    </row>
    <row r="2516" spans="1:2" ht="15">
      <c r="A2516" s="113" t="s">
        <v>6823</v>
      </c>
      <c r="B2516" s="112" t="s">
        <v>11323</v>
      </c>
    </row>
    <row r="2517" spans="1:2" ht="15">
      <c r="A2517" s="113" t="s">
        <v>6824</v>
      </c>
      <c r="B2517" s="112" t="s">
        <v>11323</v>
      </c>
    </row>
    <row r="2518" spans="1:2" ht="15">
      <c r="A2518" s="113" t="s">
        <v>6825</v>
      </c>
      <c r="B2518" s="112" t="s">
        <v>11323</v>
      </c>
    </row>
    <row r="2519" spans="1:2" ht="15">
      <c r="A2519" s="113" t="s">
        <v>6826</v>
      </c>
      <c r="B2519" s="112" t="s">
        <v>11323</v>
      </c>
    </row>
    <row r="2520" spans="1:2" ht="15">
      <c r="A2520" s="113" t="s">
        <v>6827</v>
      </c>
      <c r="B2520" s="112" t="s">
        <v>11323</v>
      </c>
    </row>
    <row r="2521" spans="1:2" ht="15">
      <c r="A2521" s="113" t="s">
        <v>6828</v>
      </c>
      <c r="B2521" s="112" t="s">
        <v>11323</v>
      </c>
    </row>
    <row r="2522" spans="1:2" ht="15">
      <c r="A2522" s="113" t="s">
        <v>6829</v>
      </c>
      <c r="B2522" s="112" t="s">
        <v>11323</v>
      </c>
    </row>
    <row r="2523" spans="1:2" ht="15">
      <c r="A2523" s="113" t="s">
        <v>6830</v>
      </c>
      <c r="B2523" s="112" t="s">
        <v>11323</v>
      </c>
    </row>
    <row r="2524" spans="1:2" ht="15">
      <c r="A2524" s="113" t="s">
        <v>6831</v>
      </c>
      <c r="B2524" s="112" t="s">
        <v>11323</v>
      </c>
    </row>
    <row r="2525" spans="1:2" ht="15">
      <c r="A2525" s="113" t="s">
        <v>6832</v>
      </c>
      <c r="B2525" s="112" t="s">
        <v>11323</v>
      </c>
    </row>
    <row r="2526" spans="1:2" ht="15">
      <c r="A2526" s="113" t="s">
        <v>6833</v>
      </c>
      <c r="B2526" s="112" t="s">
        <v>11323</v>
      </c>
    </row>
    <row r="2527" spans="1:2" ht="15">
      <c r="A2527" s="113" t="s">
        <v>6834</v>
      </c>
      <c r="B2527" s="112" t="s">
        <v>11323</v>
      </c>
    </row>
    <row r="2528" spans="1:2" ht="15">
      <c r="A2528" s="113" t="s">
        <v>6835</v>
      </c>
      <c r="B2528" s="112" t="s">
        <v>11323</v>
      </c>
    </row>
    <row r="2529" spans="1:2" ht="15">
      <c r="A2529" s="113" t="s">
        <v>6836</v>
      </c>
      <c r="B2529" s="112" t="s">
        <v>11323</v>
      </c>
    </row>
    <row r="2530" spans="1:2" ht="15">
      <c r="A2530" s="113" t="s">
        <v>6837</v>
      </c>
      <c r="B2530" s="112" t="s">
        <v>11323</v>
      </c>
    </row>
    <row r="2531" spans="1:2" ht="15">
      <c r="A2531" s="113" t="s">
        <v>6838</v>
      </c>
      <c r="B2531" s="112" t="s">
        <v>11323</v>
      </c>
    </row>
    <row r="2532" spans="1:2" ht="15">
      <c r="A2532" s="113" t="s">
        <v>6839</v>
      </c>
      <c r="B2532" s="112" t="s">
        <v>11323</v>
      </c>
    </row>
    <row r="2533" spans="1:2" ht="15">
      <c r="A2533" s="113" t="s">
        <v>6840</v>
      </c>
      <c r="B2533" s="112" t="s">
        <v>11323</v>
      </c>
    </row>
    <row r="2534" spans="1:2" ht="15">
      <c r="A2534" s="113" t="s">
        <v>6841</v>
      </c>
      <c r="B2534" s="112" t="s">
        <v>11323</v>
      </c>
    </row>
    <row r="2535" spans="1:2" ht="15">
      <c r="A2535" s="113" t="s">
        <v>6842</v>
      </c>
      <c r="B2535" s="112" t="s">
        <v>11323</v>
      </c>
    </row>
    <row r="2536" spans="1:2" ht="15">
      <c r="A2536" s="113" t="s">
        <v>6843</v>
      </c>
      <c r="B2536" s="112" t="s">
        <v>11323</v>
      </c>
    </row>
    <row r="2537" spans="1:2" ht="15">
      <c r="A2537" s="113" t="s">
        <v>6844</v>
      </c>
      <c r="B2537" s="112" t="s">
        <v>11323</v>
      </c>
    </row>
    <row r="2538" spans="1:2" ht="15">
      <c r="A2538" s="113" t="s">
        <v>6845</v>
      </c>
      <c r="B2538" s="112" t="s">
        <v>11323</v>
      </c>
    </row>
    <row r="2539" spans="1:2" ht="15">
      <c r="A2539" s="113" t="s">
        <v>6846</v>
      </c>
      <c r="B2539" s="112" t="s">
        <v>11323</v>
      </c>
    </row>
    <row r="2540" spans="1:2" ht="15">
      <c r="A2540" s="113" t="s">
        <v>6847</v>
      </c>
      <c r="B2540" s="112" t="s">
        <v>11323</v>
      </c>
    </row>
    <row r="2541" spans="1:2" ht="15">
      <c r="A2541" s="113" t="s">
        <v>6848</v>
      </c>
      <c r="B2541" s="112" t="s">
        <v>11323</v>
      </c>
    </row>
    <row r="2542" spans="1:2" ht="15">
      <c r="A2542" s="113" t="s">
        <v>6849</v>
      </c>
      <c r="B2542" s="112" t="s">
        <v>11323</v>
      </c>
    </row>
    <row r="2543" spans="1:2" ht="15">
      <c r="A2543" s="113" t="s">
        <v>6850</v>
      </c>
      <c r="B2543" s="112" t="s">
        <v>11323</v>
      </c>
    </row>
    <row r="2544" spans="1:2" ht="15">
      <c r="A2544" s="113" t="s">
        <v>6851</v>
      </c>
      <c r="B2544" s="112" t="s">
        <v>11323</v>
      </c>
    </row>
    <row r="2545" spans="1:2" ht="15">
      <c r="A2545" s="113" t="s">
        <v>6852</v>
      </c>
      <c r="B2545" s="112" t="s">
        <v>11323</v>
      </c>
    </row>
    <row r="2546" spans="1:2" ht="15">
      <c r="A2546" s="113" t="s">
        <v>6853</v>
      </c>
      <c r="B2546" s="112" t="s">
        <v>11323</v>
      </c>
    </row>
    <row r="2547" spans="1:2" ht="15">
      <c r="A2547" s="113" t="s">
        <v>6854</v>
      </c>
      <c r="B2547" s="112" t="s">
        <v>11323</v>
      </c>
    </row>
    <row r="2548" spans="1:2" ht="15">
      <c r="A2548" s="113" t="s">
        <v>6855</v>
      </c>
      <c r="B2548" s="112" t="s">
        <v>11323</v>
      </c>
    </row>
    <row r="2549" spans="1:2" ht="15">
      <c r="A2549" s="113" t="s">
        <v>6856</v>
      </c>
      <c r="B2549" s="112" t="s">
        <v>11323</v>
      </c>
    </row>
    <row r="2550" spans="1:2" ht="15">
      <c r="A2550" s="113" t="s">
        <v>6857</v>
      </c>
      <c r="B2550" s="112" t="s">
        <v>11323</v>
      </c>
    </row>
    <row r="2551" spans="1:2" ht="15">
      <c r="A2551" s="113" t="s">
        <v>6858</v>
      </c>
      <c r="B2551" s="112" t="s">
        <v>11323</v>
      </c>
    </row>
    <row r="2552" spans="1:2" ht="15">
      <c r="A2552" s="113" t="s">
        <v>6859</v>
      </c>
      <c r="B2552" s="112" t="s">
        <v>11323</v>
      </c>
    </row>
    <row r="2553" spans="1:2" ht="15">
      <c r="A2553" s="113" t="s">
        <v>6860</v>
      </c>
      <c r="B2553" s="112" t="s">
        <v>11323</v>
      </c>
    </row>
    <row r="2554" spans="1:2" ht="15">
      <c r="A2554" s="113" t="s">
        <v>6861</v>
      </c>
      <c r="B2554" s="112" t="s">
        <v>11323</v>
      </c>
    </row>
    <row r="2555" spans="1:2" ht="15">
      <c r="A2555" s="113" t="s">
        <v>6862</v>
      </c>
      <c r="B2555" s="112" t="s">
        <v>11323</v>
      </c>
    </row>
    <row r="2556" spans="1:2" ht="15">
      <c r="A2556" s="113" t="s">
        <v>6863</v>
      </c>
      <c r="B2556" s="112" t="s">
        <v>11323</v>
      </c>
    </row>
    <row r="2557" spans="1:2" ht="15">
      <c r="A2557" s="113" t="s">
        <v>6864</v>
      </c>
      <c r="B2557" s="112" t="s">
        <v>11323</v>
      </c>
    </row>
    <row r="2558" spans="1:2" ht="15">
      <c r="A2558" s="113" t="s">
        <v>6865</v>
      </c>
      <c r="B2558" s="112" t="s">
        <v>11323</v>
      </c>
    </row>
    <row r="2559" spans="1:2" ht="15">
      <c r="A2559" s="113" t="s">
        <v>6866</v>
      </c>
      <c r="B2559" s="112" t="s">
        <v>11323</v>
      </c>
    </row>
    <row r="2560" spans="1:2" ht="15">
      <c r="A2560" s="113" t="s">
        <v>6867</v>
      </c>
      <c r="B2560" s="112" t="s">
        <v>11323</v>
      </c>
    </row>
    <row r="2561" spans="1:2" ht="15">
      <c r="A2561" s="113" t="s">
        <v>6868</v>
      </c>
      <c r="B2561" s="112" t="s">
        <v>11323</v>
      </c>
    </row>
    <row r="2562" spans="1:2" ht="15">
      <c r="A2562" s="113" t="s">
        <v>6869</v>
      </c>
      <c r="B2562" s="112" t="s">
        <v>11323</v>
      </c>
    </row>
    <row r="2563" spans="1:2" ht="15">
      <c r="A2563" s="113" t="s">
        <v>6870</v>
      </c>
      <c r="B2563" s="112" t="s">
        <v>11323</v>
      </c>
    </row>
    <row r="2564" spans="1:2" ht="15">
      <c r="A2564" s="113" t="s">
        <v>6871</v>
      </c>
      <c r="B2564" s="112" t="s">
        <v>11323</v>
      </c>
    </row>
    <row r="2565" spans="1:2" ht="15">
      <c r="A2565" s="113" t="s">
        <v>6872</v>
      </c>
      <c r="B2565" s="112" t="s">
        <v>11323</v>
      </c>
    </row>
    <row r="2566" spans="1:2" ht="15">
      <c r="A2566" s="113" t="s">
        <v>6873</v>
      </c>
      <c r="B2566" s="112" t="s">
        <v>11323</v>
      </c>
    </row>
    <row r="2567" spans="1:2" ht="15">
      <c r="A2567" s="113" t="s">
        <v>6874</v>
      </c>
      <c r="B2567" s="112" t="s">
        <v>11323</v>
      </c>
    </row>
    <row r="2568" spans="1:2" ht="15">
      <c r="A2568" s="113" t="s">
        <v>6875</v>
      </c>
      <c r="B2568" s="112" t="s">
        <v>11323</v>
      </c>
    </row>
    <row r="2569" spans="1:2" ht="15">
      <c r="A2569" s="113" t="s">
        <v>6876</v>
      </c>
      <c r="B2569" s="112" t="s">
        <v>11323</v>
      </c>
    </row>
    <row r="2570" spans="1:2" ht="15">
      <c r="A2570" s="113" t="s">
        <v>6877</v>
      </c>
      <c r="B2570" s="112" t="s">
        <v>11323</v>
      </c>
    </row>
    <row r="2571" spans="1:2" ht="15">
      <c r="A2571" s="113" t="s">
        <v>6878</v>
      </c>
      <c r="B2571" s="112" t="s">
        <v>11323</v>
      </c>
    </row>
    <row r="2572" spans="1:2" ht="15">
      <c r="A2572" s="113" t="s">
        <v>6879</v>
      </c>
      <c r="B2572" s="112" t="s">
        <v>11323</v>
      </c>
    </row>
    <row r="2573" spans="1:2" ht="15">
      <c r="A2573" s="113" t="s">
        <v>6880</v>
      </c>
      <c r="B2573" s="112" t="s">
        <v>11323</v>
      </c>
    </row>
    <row r="2574" spans="1:2" ht="15">
      <c r="A2574" s="113" t="s">
        <v>6881</v>
      </c>
      <c r="B2574" s="112" t="s">
        <v>11323</v>
      </c>
    </row>
    <row r="2575" spans="1:2" ht="15">
      <c r="A2575" s="113" t="s">
        <v>6882</v>
      </c>
      <c r="B2575" s="112" t="s">
        <v>11323</v>
      </c>
    </row>
    <row r="2576" spans="1:2" ht="15">
      <c r="A2576" s="113" t="s">
        <v>6883</v>
      </c>
      <c r="B2576" s="112" t="s">
        <v>11323</v>
      </c>
    </row>
    <row r="2577" spans="1:2" ht="15">
      <c r="A2577" s="113" t="s">
        <v>6884</v>
      </c>
      <c r="B2577" s="112" t="s">
        <v>11323</v>
      </c>
    </row>
    <row r="2578" spans="1:2" ht="15">
      <c r="A2578" s="113" t="s">
        <v>6885</v>
      </c>
      <c r="B2578" s="112" t="s">
        <v>11323</v>
      </c>
    </row>
    <row r="2579" spans="1:2" ht="15">
      <c r="A2579" s="113" t="s">
        <v>6886</v>
      </c>
      <c r="B2579" s="112" t="s">
        <v>11323</v>
      </c>
    </row>
    <row r="2580" spans="1:2" ht="15">
      <c r="A2580" s="113" t="s">
        <v>6887</v>
      </c>
      <c r="B2580" s="112" t="s">
        <v>11323</v>
      </c>
    </row>
    <row r="2581" spans="1:2" ht="15">
      <c r="A2581" s="113" t="s">
        <v>6888</v>
      </c>
      <c r="B2581" s="112" t="s">
        <v>11323</v>
      </c>
    </row>
    <row r="2582" spans="1:2" ht="15">
      <c r="A2582" s="113" t="s">
        <v>6889</v>
      </c>
      <c r="B2582" s="112" t="s">
        <v>11323</v>
      </c>
    </row>
    <row r="2583" spans="1:2" ht="15">
      <c r="A2583" s="113" t="s">
        <v>6890</v>
      </c>
      <c r="B2583" s="112" t="s">
        <v>11323</v>
      </c>
    </row>
    <row r="2584" spans="1:2" ht="15">
      <c r="A2584" s="113" t="s">
        <v>6891</v>
      </c>
      <c r="B2584" s="112" t="s">
        <v>11323</v>
      </c>
    </row>
    <row r="2585" spans="1:2" ht="15">
      <c r="A2585" s="113" t="s">
        <v>6892</v>
      </c>
      <c r="B2585" s="112" t="s">
        <v>11323</v>
      </c>
    </row>
    <row r="2586" spans="1:2" ht="15">
      <c r="A2586" s="113" t="s">
        <v>6893</v>
      </c>
      <c r="B2586" s="112" t="s">
        <v>11323</v>
      </c>
    </row>
    <row r="2587" spans="1:2" ht="15">
      <c r="A2587" s="113" t="s">
        <v>6894</v>
      </c>
      <c r="B2587" s="112" t="s">
        <v>11323</v>
      </c>
    </row>
    <row r="2588" spans="1:2" ht="15">
      <c r="A2588" s="113" t="s">
        <v>6895</v>
      </c>
      <c r="B2588" s="112" t="s">
        <v>11323</v>
      </c>
    </row>
    <row r="2589" spans="1:2" ht="15">
      <c r="A2589" s="113" t="s">
        <v>6896</v>
      </c>
      <c r="B2589" s="112" t="s">
        <v>11323</v>
      </c>
    </row>
    <row r="2590" spans="1:2" ht="15">
      <c r="A2590" s="113" t="s">
        <v>6897</v>
      </c>
      <c r="B2590" s="112" t="s">
        <v>11323</v>
      </c>
    </row>
    <row r="2591" spans="1:2" ht="15">
      <c r="A2591" s="113" t="s">
        <v>6898</v>
      </c>
      <c r="B2591" s="112" t="s">
        <v>11323</v>
      </c>
    </row>
    <row r="2592" spans="1:2" ht="15">
      <c r="A2592" s="113" t="s">
        <v>6899</v>
      </c>
      <c r="B2592" s="112" t="s">
        <v>11323</v>
      </c>
    </row>
    <row r="2593" spans="1:2" ht="15">
      <c r="A2593" s="113" t="s">
        <v>6900</v>
      </c>
      <c r="B2593" s="112" t="s">
        <v>11323</v>
      </c>
    </row>
    <row r="2594" spans="1:2" ht="15">
      <c r="A2594" s="113" t="s">
        <v>6901</v>
      </c>
      <c r="B2594" s="112" t="s">
        <v>11323</v>
      </c>
    </row>
    <row r="2595" spans="1:2" ht="15">
      <c r="A2595" s="113" t="s">
        <v>6902</v>
      </c>
      <c r="B2595" s="112" t="s">
        <v>11323</v>
      </c>
    </row>
    <row r="2596" spans="1:2" ht="15">
      <c r="A2596" s="113" t="s">
        <v>6903</v>
      </c>
      <c r="B2596" s="112" t="s">
        <v>11323</v>
      </c>
    </row>
    <row r="2597" spans="1:2" ht="15">
      <c r="A2597" s="113" t="s">
        <v>6904</v>
      </c>
      <c r="B2597" s="112" t="s">
        <v>11323</v>
      </c>
    </row>
    <row r="2598" spans="1:2" ht="15">
      <c r="A2598" s="113" t="s">
        <v>6905</v>
      </c>
      <c r="B2598" s="112" t="s">
        <v>11323</v>
      </c>
    </row>
    <row r="2599" spans="1:2" ht="15">
      <c r="A2599" s="113" t="s">
        <v>6906</v>
      </c>
      <c r="B2599" s="112" t="s">
        <v>11323</v>
      </c>
    </row>
    <row r="2600" spans="1:2" ht="15">
      <c r="A2600" s="113" t="s">
        <v>6907</v>
      </c>
      <c r="B2600" s="112" t="s">
        <v>11323</v>
      </c>
    </row>
    <row r="2601" spans="1:2" ht="15">
      <c r="A2601" s="113" t="s">
        <v>6908</v>
      </c>
      <c r="B2601" s="112" t="s">
        <v>11323</v>
      </c>
    </row>
    <row r="2602" spans="1:2" ht="15">
      <c r="A2602" s="113" t="s">
        <v>6909</v>
      </c>
      <c r="B2602" s="112" t="s">
        <v>11323</v>
      </c>
    </row>
    <row r="2603" spans="1:2" ht="15">
      <c r="A2603" s="113" t="s">
        <v>6910</v>
      </c>
      <c r="B2603" s="112" t="s">
        <v>11323</v>
      </c>
    </row>
    <row r="2604" spans="1:2" ht="15">
      <c r="A2604" s="113" t="s">
        <v>6911</v>
      </c>
      <c r="B2604" s="112" t="s">
        <v>11323</v>
      </c>
    </row>
    <row r="2605" spans="1:2" ht="15">
      <c r="A2605" s="113" t="s">
        <v>6912</v>
      </c>
      <c r="B2605" s="112" t="s">
        <v>11323</v>
      </c>
    </row>
    <row r="2606" spans="1:2" ht="15">
      <c r="A2606" s="113" t="s">
        <v>6913</v>
      </c>
      <c r="B2606" s="112" t="s">
        <v>11323</v>
      </c>
    </row>
    <row r="2607" spans="1:2" ht="15">
      <c r="A2607" s="113" t="s">
        <v>6914</v>
      </c>
      <c r="B2607" s="112" t="s">
        <v>11323</v>
      </c>
    </row>
    <row r="2608" spans="1:2" ht="15">
      <c r="A2608" s="113" t="s">
        <v>6915</v>
      </c>
      <c r="B2608" s="112" t="s">
        <v>11323</v>
      </c>
    </row>
    <row r="2609" spans="1:2" ht="15">
      <c r="A2609" s="113" t="s">
        <v>6916</v>
      </c>
      <c r="B2609" s="112" t="s">
        <v>11323</v>
      </c>
    </row>
    <row r="2610" spans="1:2" ht="15">
      <c r="A2610" s="113" t="s">
        <v>6917</v>
      </c>
      <c r="B2610" s="112" t="s">
        <v>11323</v>
      </c>
    </row>
    <row r="2611" spans="1:2" ht="15">
      <c r="A2611" s="113" t="s">
        <v>6918</v>
      </c>
      <c r="B2611" s="112" t="s">
        <v>11323</v>
      </c>
    </row>
    <row r="2612" spans="1:2" ht="15">
      <c r="A2612" s="113" t="s">
        <v>6919</v>
      </c>
      <c r="B2612" s="112" t="s">
        <v>11323</v>
      </c>
    </row>
    <row r="2613" spans="1:2" ht="15">
      <c r="A2613" s="113" t="s">
        <v>6920</v>
      </c>
      <c r="B2613" s="112" t="s">
        <v>11323</v>
      </c>
    </row>
    <row r="2614" spans="1:2" ht="15">
      <c r="A2614" s="113" t="s">
        <v>6921</v>
      </c>
      <c r="B2614" s="112" t="s">
        <v>11323</v>
      </c>
    </row>
    <row r="2615" spans="1:2" ht="15">
      <c r="A2615" s="113" t="s">
        <v>6922</v>
      </c>
      <c r="B2615" s="112" t="s">
        <v>11323</v>
      </c>
    </row>
    <row r="2616" spans="1:2" ht="15">
      <c r="A2616" s="113" t="s">
        <v>6923</v>
      </c>
      <c r="B2616" s="112" t="s">
        <v>11323</v>
      </c>
    </row>
    <row r="2617" spans="1:2" ht="15">
      <c r="A2617" s="113" t="s">
        <v>6924</v>
      </c>
      <c r="B2617" s="112" t="s">
        <v>11323</v>
      </c>
    </row>
    <row r="2618" spans="1:2" ht="15">
      <c r="A2618" s="113" t="s">
        <v>6925</v>
      </c>
      <c r="B2618" s="112" t="s">
        <v>11323</v>
      </c>
    </row>
    <row r="2619" spans="1:2" ht="15">
      <c r="A2619" s="113" t="s">
        <v>6926</v>
      </c>
      <c r="B2619" s="112" t="s">
        <v>11323</v>
      </c>
    </row>
    <row r="2620" spans="1:2" ht="15">
      <c r="A2620" s="113" t="s">
        <v>6927</v>
      </c>
      <c r="B2620" s="112" t="s">
        <v>11323</v>
      </c>
    </row>
    <row r="2621" spans="1:2" ht="15">
      <c r="A2621" s="113" t="s">
        <v>6928</v>
      </c>
      <c r="B2621" s="112" t="s">
        <v>11323</v>
      </c>
    </row>
    <row r="2622" spans="1:2" ht="15">
      <c r="A2622" s="113" t="s">
        <v>6929</v>
      </c>
      <c r="B2622" s="112" t="s">
        <v>11323</v>
      </c>
    </row>
    <row r="2623" spans="1:2" ht="15">
      <c r="A2623" s="113" t="s">
        <v>6930</v>
      </c>
      <c r="B2623" s="112" t="s">
        <v>11323</v>
      </c>
    </row>
    <row r="2624" spans="1:2" ht="15">
      <c r="A2624" s="113" t="s">
        <v>6931</v>
      </c>
      <c r="B2624" s="112" t="s">
        <v>11323</v>
      </c>
    </row>
    <row r="2625" spans="1:2" ht="15">
      <c r="A2625" s="113" t="s">
        <v>6932</v>
      </c>
      <c r="B2625" s="112" t="s">
        <v>11323</v>
      </c>
    </row>
    <row r="2626" spans="1:2" ht="15">
      <c r="A2626" s="113" t="s">
        <v>6933</v>
      </c>
      <c r="B2626" s="112" t="s">
        <v>11323</v>
      </c>
    </row>
    <row r="2627" spans="1:2" ht="15">
      <c r="A2627" s="113" t="s">
        <v>6934</v>
      </c>
      <c r="B2627" s="112" t="s">
        <v>11323</v>
      </c>
    </row>
    <row r="2628" spans="1:2" ht="15">
      <c r="A2628" s="113" t="s">
        <v>6935</v>
      </c>
      <c r="B2628" s="112" t="s">
        <v>11323</v>
      </c>
    </row>
    <row r="2629" spans="1:2" ht="15">
      <c r="A2629" s="113" t="s">
        <v>6936</v>
      </c>
      <c r="B2629" s="112" t="s">
        <v>11323</v>
      </c>
    </row>
    <row r="2630" spans="1:2" ht="15">
      <c r="A2630" s="113" t="s">
        <v>6937</v>
      </c>
      <c r="B2630" s="112" t="s">
        <v>11323</v>
      </c>
    </row>
    <row r="2631" spans="1:2" ht="15">
      <c r="A2631" s="113" t="s">
        <v>6938</v>
      </c>
      <c r="B2631" s="112" t="s">
        <v>11323</v>
      </c>
    </row>
    <row r="2632" spans="1:2" ht="15">
      <c r="A2632" s="113" t="s">
        <v>6939</v>
      </c>
      <c r="B2632" s="112" t="s">
        <v>11323</v>
      </c>
    </row>
    <row r="2633" spans="1:2" ht="15">
      <c r="A2633" s="113" t="s">
        <v>6940</v>
      </c>
      <c r="B2633" s="112" t="s">
        <v>11323</v>
      </c>
    </row>
    <row r="2634" spans="1:2" ht="15">
      <c r="A2634" s="113" t="s">
        <v>6941</v>
      </c>
      <c r="B2634" s="112" t="s">
        <v>11323</v>
      </c>
    </row>
    <row r="2635" spans="1:2" ht="15">
      <c r="A2635" s="113" t="s">
        <v>6942</v>
      </c>
      <c r="B2635" s="112" t="s">
        <v>11323</v>
      </c>
    </row>
    <row r="2636" spans="1:2" ht="15">
      <c r="A2636" s="113" t="s">
        <v>6943</v>
      </c>
      <c r="B2636" s="112" t="s">
        <v>11323</v>
      </c>
    </row>
    <row r="2637" spans="1:2" ht="15">
      <c r="A2637" s="113" t="s">
        <v>6944</v>
      </c>
      <c r="B2637" s="112" t="s">
        <v>11323</v>
      </c>
    </row>
    <row r="2638" spans="1:2" ht="15">
      <c r="A2638" s="113" t="s">
        <v>6945</v>
      </c>
      <c r="B2638" s="112" t="s">
        <v>11323</v>
      </c>
    </row>
    <row r="2639" spans="1:2" ht="15">
      <c r="A2639" s="113" t="s">
        <v>6946</v>
      </c>
      <c r="B2639" s="112" t="s">
        <v>11323</v>
      </c>
    </row>
    <row r="2640" spans="1:2" ht="15">
      <c r="A2640" s="113" t="s">
        <v>6947</v>
      </c>
      <c r="B2640" s="112" t="s">
        <v>11323</v>
      </c>
    </row>
    <row r="2641" spans="1:2" ht="15">
      <c r="A2641" s="113" t="s">
        <v>6948</v>
      </c>
      <c r="B2641" s="112" t="s">
        <v>11323</v>
      </c>
    </row>
    <row r="2642" spans="1:2" ht="15">
      <c r="A2642" s="113" t="s">
        <v>6949</v>
      </c>
      <c r="B2642" s="112" t="s">
        <v>11323</v>
      </c>
    </row>
    <row r="2643" spans="1:2" ht="15">
      <c r="A2643" s="113" t="s">
        <v>6950</v>
      </c>
      <c r="B2643" s="112" t="s">
        <v>11323</v>
      </c>
    </row>
    <row r="2644" spans="1:2" ht="15">
      <c r="A2644" s="113" t="s">
        <v>6951</v>
      </c>
      <c r="B2644" s="112" t="s">
        <v>11323</v>
      </c>
    </row>
    <row r="2645" spans="1:2" ht="15">
      <c r="A2645" s="113" t="s">
        <v>6952</v>
      </c>
      <c r="B2645" s="112" t="s">
        <v>11323</v>
      </c>
    </row>
    <row r="2646" spans="1:2" ht="15">
      <c r="A2646" s="113" t="s">
        <v>6953</v>
      </c>
      <c r="B2646" s="112" t="s">
        <v>11323</v>
      </c>
    </row>
    <row r="2647" spans="1:2" ht="15">
      <c r="A2647" s="113" t="s">
        <v>6954</v>
      </c>
      <c r="B2647" s="112" t="s">
        <v>11323</v>
      </c>
    </row>
    <row r="2648" spans="1:2" ht="15">
      <c r="A2648" s="113" t="s">
        <v>6955</v>
      </c>
      <c r="B2648" s="112" t="s">
        <v>11323</v>
      </c>
    </row>
    <row r="2649" spans="1:2" ht="15">
      <c r="A2649" s="113" t="s">
        <v>6956</v>
      </c>
      <c r="B2649" s="112" t="s">
        <v>11323</v>
      </c>
    </row>
    <row r="2650" spans="1:2" ht="15">
      <c r="A2650" s="113" t="s">
        <v>6957</v>
      </c>
      <c r="B2650" s="112" t="s">
        <v>11323</v>
      </c>
    </row>
    <row r="2651" spans="1:2" ht="15">
      <c r="A2651" s="113" t="s">
        <v>6958</v>
      </c>
      <c r="B2651" s="112" t="s">
        <v>11323</v>
      </c>
    </row>
    <row r="2652" spans="1:2" ht="15">
      <c r="A2652" s="113" t="s">
        <v>6959</v>
      </c>
      <c r="B2652" s="112" t="s">
        <v>11323</v>
      </c>
    </row>
    <row r="2653" spans="1:2" ht="15">
      <c r="A2653" s="113" t="s">
        <v>6960</v>
      </c>
      <c r="B2653" s="112" t="s">
        <v>11323</v>
      </c>
    </row>
    <row r="2654" spans="1:2" ht="15">
      <c r="A2654" s="113" t="s">
        <v>6961</v>
      </c>
      <c r="B2654" s="112" t="s">
        <v>11323</v>
      </c>
    </row>
    <row r="2655" spans="1:2" ht="15">
      <c r="A2655" s="113" t="s">
        <v>6962</v>
      </c>
      <c r="B2655" s="112" t="s">
        <v>11323</v>
      </c>
    </row>
    <row r="2656" spans="1:2" ht="15">
      <c r="A2656" s="113" t="s">
        <v>6963</v>
      </c>
      <c r="B2656" s="112" t="s">
        <v>11323</v>
      </c>
    </row>
    <row r="2657" spans="1:2" ht="15">
      <c r="A2657" s="113" t="s">
        <v>6964</v>
      </c>
      <c r="B2657" s="112" t="s">
        <v>11323</v>
      </c>
    </row>
    <row r="2658" spans="1:2" ht="15">
      <c r="A2658" s="113" t="s">
        <v>6965</v>
      </c>
      <c r="B2658" s="112" t="s">
        <v>11323</v>
      </c>
    </row>
    <row r="2659" spans="1:2" ht="15">
      <c r="A2659" s="113" t="s">
        <v>6966</v>
      </c>
      <c r="B2659" s="112" t="s">
        <v>11323</v>
      </c>
    </row>
    <row r="2660" spans="1:2" ht="15">
      <c r="A2660" s="113" t="s">
        <v>6967</v>
      </c>
      <c r="B2660" s="112" t="s">
        <v>11323</v>
      </c>
    </row>
    <row r="2661" spans="1:2" ht="15">
      <c r="A2661" s="113" t="s">
        <v>6968</v>
      </c>
      <c r="B2661" s="112" t="s">
        <v>11323</v>
      </c>
    </row>
    <row r="2662" spans="1:2" ht="15">
      <c r="A2662" s="113" t="s">
        <v>6969</v>
      </c>
      <c r="B2662" s="112" t="s">
        <v>11323</v>
      </c>
    </row>
    <row r="2663" spans="1:2" ht="15">
      <c r="A2663" s="113" t="s">
        <v>6970</v>
      </c>
      <c r="B2663" s="112" t="s">
        <v>11323</v>
      </c>
    </row>
    <row r="2664" spans="1:2" ht="15">
      <c r="A2664" s="113" t="s">
        <v>6971</v>
      </c>
      <c r="B2664" s="112" t="s">
        <v>11323</v>
      </c>
    </row>
    <row r="2665" spans="1:2" ht="15">
      <c r="A2665" s="113" t="s">
        <v>6972</v>
      </c>
      <c r="B2665" s="112" t="s">
        <v>11323</v>
      </c>
    </row>
    <row r="2666" spans="1:2" ht="15">
      <c r="A2666" s="113" t="s">
        <v>6973</v>
      </c>
      <c r="B2666" s="112" t="s">
        <v>11323</v>
      </c>
    </row>
    <row r="2667" spans="1:2" ht="15">
      <c r="A2667" s="113" t="s">
        <v>6974</v>
      </c>
      <c r="B2667" s="112" t="s">
        <v>11323</v>
      </c>
    </row>
    <row r="2668" spans="1:2" ht="15">
      <c r="A2668" s="113" t="s">
        <v>6975</v>
      </c>
      <c r="B2668" s="112" t="s">
        <v>11323</v>
      </c>
    </row>
    <row r="2669" spans="1:2" ht="15">
      <c r="A2669" s="113" t="s">
        <v>6976</v>
      </c>
      <c r="B2669" s="112" t="s">
        <v>11323</v>
      </c>
    </row>
    <row r="2670" spans="1:2" ht="15">
      <c r="A2670" s="113" t="s">
        <v>6977</v>
      </c>
      <c r="B2670" s="112" t="s">
        <v>11323</v>
      </c>
    </row>
    <row r="2671" spans="1:2" ht="15">
      <c r="A2671" s="113" t="s">
        <v>6978</v>
      </c>
      <c r="B2671" s="112" t="s">
        <v>11323</v>
      </c>
    </row>
    <row r="2672" spans="1:2" ht="15">
      <c r="A2672" s="113" t="s">
        <v>6979</v>
      </c>
      <c r="B2672" s="112" t="s">
        <v>11323</v>
      </c>
    </row>
    <row r="2673" spans="1:2" ht="15">
      <c r="A2673" s="113" t="s">
        <v>6980</v>
      </c>
      <c r="B2673" s="112" t="s">
        <v>11323</v>
      </c>
    </row>
    <row r="2674" spans="1:2" ht="15">
      <c r="A2674" s="113" t="s">
        <v>6981</v>
      </c>
      <c r="B2674" s="112" t="s">
        <v>11323</v>
      </c>
    </row>
    <row r="2675" spans="1:2" ht="15">
      <c r="A2675" s="113" t="s">
        <v>6982</v>
      </c>
      <c r="B2675" s="112" t="s">
        <v>11323</v>
      </c>
    </row>
    <row r="2676" spans="1:2" ht="15">
      <c r="A2676" s="113" t="s">
        <v>6983</v>
      </c>
      <c r="B2676" s="112" t="s">
        <v>11323</v>
      </c>
    </row>
    <row r="2677" spans="1:2" ht="15">
      <c r="A2677" s="113" t="s">
        <v>6984</v>
      </c>
      <c r="B2677" s="112" t="s">
        <v>11323</v>
      </c>
    </row>
    <row r="2678" spans="1:2" ht="15">
      <c r="A2678" s="113" t="s">
        <v>6985</v>
      </c>
      <c r="B2678" s="112" t="s">
        <v>11323</v>
      </c>
    </row>
    <row r="2679" spans="1:2" ht="15">
      <c r="A2679" s="113" t="s">
        <v>6986</v>
      </c>
      <c r="B2679" s="112" t="s">
        <v>11323</v>
      </c>
    </row>
    <row r="2680" spans="1:2" ht="15">
      <c r="A2680" s="113" t="s">
        <v>6987</v>
      </c>
      <c r="B2680" s="112" t="s">
        <v>11323</v>
      </c>
    </row>
    <row r="2681" spans="1:2" ht="15">
      <c r="A2681" s="113" t="s">
        <v>6988</v>
      </c>
      <c r="B2681" s="112" t="s">
        <v>11323</v>
      </c>
    </row>
    <row r="2682" spans="1:2" ht="15">
      <c r="A2682" s="113" t="s">
        <v>6989</v>
      </c>
      <c r="B2682" s="112" t="s">
        <v>11323</v>
      </c>
    </row>
    <row r="2683" spans="1:2" ht="15">
      <c r="A2683" s="113" t="s">
        <v>6990</v>
      </c>
      <c r="B2683" s="112" t="s">
        <v>11323</v>
      </c>
    </row>
    <row r="2684" spans="1:2" ht="15">
      <c r="A2684" s="113" t="s">
        <v>6991</v>
      </c>
      <c r="B2684" s="112" t="s">
        <v>11323</v>
      </c>
    </row>
    <row r="2685" spans="1:2" ht="15">
      <c r="A2685" s="113" t="s">
        <v>6992</v>
      </c>
      <c r="B2685" s="112" t="s">
        <v>11323</v>
      </c>
    </row>
    <row r="2686" spans="1:2" ht="15">
      <c r="A2686" s="113" t="s">
        <v>6993</v>
      </c>
      <c r="B2686" s="112" t="s">
        <v>11323</v>
      </c>
    </row>
    <row r="2687" spans="1:2" ht="15">
      <c r="A2687" s="113" t="s">
        <v>6994</v>
      </c>
      <c r="B2687" s="112" t="s">
        <v>11323</v>
      </c>
    </row>
    <row r="2688" spans="1:2" ht="15">
      <c r="A2688" s="113" t="s">
        <v>6995</v>
      </c>
      <c r="B2688" s="112" t="s">
        <v>11323</v>
      </c>
    </row>
    <row r="2689" spans="1:2" ht="15">
      <c r="A2689" s="113" t="s">
        <v>6996</v>
      </c>
      <c r="B2689" s="112" t="s">
        <v>11323</v>
      </c>
    </row>
    <row r="2690" spans="1:2" ht="15">
      <c r="A2690" s="113" t="s">
        <v>6997</v>
      </c>
      <c r="B2690" s="112" t="s">
        <v>11323</v>
      </c>
    </row>
    <row r="2691" spans="1:2" ht="15">
      <c r="A2691" s="113" t="s">
        <v>6998</v>
      </c>
      <c r="B2691" s="112" t="s">
        <v>11323</v>
      </c>
    </row>
    <row r="2692" spans="1:2" ht="15">
      <c r="A2692" s="113" t="s">
        <v>3693</v>
      </c>
      <c r="B2692" s="112" t="s">
        <v>11323</v>
      </c>
    </row>
    <row r="2693" spans="1:2" ht="15">
      <c r="A2693" s="113" t="s">
        <v>6999</v>
      </c>
      <c r="B2693" s="112" t="s">
        <v>11323</v>
      </c>
    </row>
    <row r="2694" spans="1:2" ht="15">
      <c r="A2694" s="113" t="s">
        <v>7000</v>
      </c>
      <c r="B2694" s="112" t="s">
        <v>11323</v>
      </c>
    </row>
    <row r="2695" spans="1:2" ht="15">
      <c r="A2695" s="113" t="s">
        <v>7001</v>
      </c>
      <c r="B2695" s="112" t="s">
        <v>11323</v>
      </c>
    </row>
    <row r="2696" spans="1:2" ht="15">
      <c r="A2696" s="113" t="s">
        <v>7002</v>
      </c>
      <c r="B2696" s="112" t="s">
        <v>11323</v>
      </c>
    </row>
    <row r="2697" spans="1:2" ht="15">
      <c r="A2697" s="113" t="s">
        <v>7003</v>
      </c>
      <c r="B2697" s="112" t="s">
        <v>11323</v>
      </c>
    </row>
    <row r="2698" spans="1:2" ht="15">
      <c r="A2698" s="113" t="s">
        <v>7004</v>
      </c>
      <c r="B2698" s="112" t="s">
        <v>11323</v>
      </c>
    </row>
    <row r="2699" spans="1:2" ht="15">
      <c r="A2699" s="113" t="s">
        <v>7005</v>
      </c>
      <c r="B2699" s="112" t="s">
        <v>11323</v>
      </c>
    </row>
    <row r="2700" spans="1:2" ht="15">
      <c r="A2700" s="113" t="s">
        <v>7006</v>
      </c>
      <c r="B2700" s="112" t="s">
        <v>11323</v>
      </c>
    </row>
    <row r="2701" spans="1:2" ht="15">
      <c r="A2701" s="113" t="s">
        <v>7007</v>
      </c>
      <c r="B2701" s="112" t="s">
        <v>11323</v>
      </c>
    </row>
    <row r="2702" spans="1:2" ht="15">
      <c r="A2702" s="113" t="s">
        <v>7008</v>
      </c>
      <c r="B2702" s="112" t="s">
        <v>11323</v>
      </c>
    </row>
    <row r="2703" spans="1:2" ht="15">
      <c r="A2703" s="113" t="s">
        <v>7009</v>
      </c>
      <c r="B2703" s="112" t="s">
        <v>11323</v>
      </c>
    </row>
    <row r="2704" spans="1:2" ht="15">
      <c r="A2704" s="113" t="s">
        <v>7010</v>
      </c>
      <c r="B2704" s="112" t="s">
        <v>11323</v>
      </c>
    </row>
    <row r="2705" spans="1:2" ht="15">
      <c r="A2705" s="113" t="s">
        <v>7011</v>
      </c>
      <c r="B2705" s="112" t="s">
        <v>11323</v>
      </c>
    </row>
    <row r="2706" spans="1:2" ht="15">
      <c r="A2706" s="113" t="s">
        <v>7012</v>
      </c>
      <c r="B2706" s="112" t="s">
        <v>11323</v>
      </c>
    </row>
    <row r="2707" spans="1:2" ht="15">
      <c r="A2707" s="113" t="s">
        <v>7013</v>
      </c>
      <c r="B2707" s="112" t="s">
        <v>11323</v>
      </c>
    </row>
    <row r="2708" spans="1:2" ht="15">
      <c r="A2708" s="113" t="s">
        <v>7014</v>
      </c>
      <c r="B2708" s="112" t="s">
        <v>11323</v>
      </c>
    </row>
    <row r="2709" spans="1:2" ht="15">
      <c r="A2709" s="113" t="s">
        <v>7015</v>
      </c>
      <c r="B2709" s="112" t="s">
        <v>11323</v>
      </c>
    </row>
    <row r="2710" spans="1:2" ht="15">
      <c r="A2710" s="113" t="s">
        <v>7016</v>
      </c>
      <c r="B2710" s="112" t="s">
        <v>11323</v>
      </c>
    </row>
    <row r="2711" spans="1:2" ht="15">
      <c r="A2711" s="113" t="s">
        <v>7017</v>
      </c>
      <c r="B2711" s="112" t="s">
        <v>11323</v>
      </c>
    </row>
    <row r="2712" spans="1:2" ht="15">
      <c r="A2712" s="113" t="s">
        <v>7018</v>
      </c>
      <c r="B2712" s="112" t="s">
        <v>11323</v>
      </c>
    </row>
    <row r="2713" spans="1:2" ht="15">
      <c r="A2713" s="113" t="s">
        <v>7019</v>
      </c>
      <c r="B2713" s="112" t="s">
        <v>11323</v>
      </c>
    </row>
    <row r="2714" spans="1:2" ht="15">
      <c r="A2714" s="113" t="s">
        <v>7020</v>
      </c>
      <c r="B2714" s="112" t="s">
        <v>11323</v>
      </c>
    </row>
    <row r="2715" spans="1:2" ht="15">
      <c r="A2715" s="113" t="s">
        <v>7021</v>
      </c>
      <c r="B2715" s="112" t="s">
        <v>11323</v>
      </c>
    </row>
    <row r="2716" spans="1:2" ht="15">
      <c r="A2716" s="113" t="s">
        <v>7022</v>
      </c>
      <c r="B2716" s="112" t="s">
        <v>11323</v>
      </c>
    </row>
    <row r="2717" spans="1:2" ht="15">
      <c r="A2717" s="113" t="s">
        <v>7023</v>
      </c>
      <c r="B2717" s="112" t="s">
        <v>11323</v>
      </c>
    </row>
    <row r="2718" spans="1:2" ht="15">
      <c r="A2718" s="113" t="s">
        <v>7024</v>
      </c>
      <c r="B2718" s="112" t="s">
        <v>11323</v>
      </c>
    </row>
    <row r="2719" spans="1:2" ht="15">
      <c r="A2719" s="113" t="s">
        <v>7025</v>
      </c>
      <c r="B2719" s="112" t="s">
        <v>11323</v>
      </c>
    </row>
    <row r="2720" spans="1:2" ht="15">
      <c r="A2720" s="113" t="s">
        <v>7026</v>
      </c>
      <c r="B2720" s="112" t="s">
        <v>11323</v>
      </c>
    </row>
    <row r="2721" spans="1:2" ht="15">
      <c r="A2721" s="113" t="s">
        <v>7027</v>
      </c>
      <c r="B2721" s="112" t="s">
        <v>11323</v>
      </c>
    </row>
    <row r="2722" spans="1:2" ht="15">
      <c r="A2722" s="113" t="s">
        <v>7028</v>
      </c>
      <c r="B2722" s="112" t="s">
        <v>11323</v>
      </c>
    </row>
    <row r="2723" spans="1:2" ht="15">
      <c r="A2723" s="113" t="s">
        <v>7029</v>
      </c>
      <c r="B2723" s="112" t="s">
        <v>11323</v>
      </c>
    </row>
    <row r="2724" spans="1:2" ht="15">
      <c r="A2724" s="113" t="s">
        <v>7030</v>
      </c>
      <c r="B2724" s="112" t="s">
        <v>11323</v>
      </c>
    </row>
    <row r="2725" spans="1:2" ht="15">
      <c r="A2725" s="113" t="s">
        <v>7031</v>
      </c>
      <c r="B2725" s="112" t="s">
        <v>11323</v>
      </c>
    </row>
    <row r="2726" spans="1:2" ht="15">
      <c r="A2726" s="113" t="s">
        <v>7032</v>
      </c>
      <c r="B2726" s="112" t="s">
        <v>11323</v>
      </c>
    </row>
    <row r="2727" spans="1:2" ht="15">
      <c r="A2727" s="113" t="s">
        <v>7033</v>
      </c>
      <c r="B2727" s="112" t="s">
        <v>11323</v>
      </c>
    </row>
    <row r="2728" spans="1:2" ht="15">
      <c r="A2728" s="113" t="s">
        <v>7034</v>
      </c>
      <c r="B2728" s="112" t="s">
        <v>11323</v>
      </c>
    </row>
    <row r="2729" spans="1:2" ht="15">
      <c r="A2729" s="113" t="s">
        <v>7035</v>
      </c>
      <c r="B2729" s="112" t="s">
        <v>11323</v>
      </c>
    </row>
    <row r="2730" spans="1:2" ht="15">
      <c r="A2730" s="113" t="s">
        <v>7036</v>
      </c>
      <c r="B2730" s="112" t="s">
        <v>11323</v>
      </c>
    </row>
    <row r="2731" spans="1:2" ht="15">
      <c r="A2731" s="113" t="s">
        <v>7037</v>
      </c>
      <c r="B2731" s="112" t="s">
        <v>11323</v>
      </c>
    </row>
    <row r="2732" spans="1:2" ht="15">
      <c r="A2732" s="113" t="s">
        <v>7038</v>
      </c>
      <c r="B2732" s="112" t="s">
        <v>11323</v>
      </c>
    </row>
    <row r="2733" spans="1:2" ht="15">
      <c r="A2733" s="113" t="s">
        <v>7039</v>
      </c>
      <c r="B2733" s="112" t="s">
        <v>11323</v>
      </c>
    </row>
    <row r="2734" spans="1:2" ht="15">
      <c r="A2734" s="113" t="s">
        <v>7040</v>
      </c>
      <c r="B2734" s="112" t="s">
        <v>11323</v>
      </c>
    </row>
    <row r="2735" spans="1:2" ht="15">
      <c r="A2735" s="113" t="s">
        <v>7041</v>
      </c>
      <c r="B2735" s="112" t="s">
        <v>11323</v>
      </c>
    </row>
    <row r="2736" spans="1:2" ht="15">
      <c r="A2736" s="113" t="s">
        <v>7042</v>
      </c>
      <c r="B2736" s="112" t="s">
        <v>11323</v>
      </c>
    </row>
    <row r="2737" spans="1:2" ht="15">
      <c r="A2737" s="113" t="s">
        <v>7043</v>
      </c>
      <c r="B2737" s="112" t="s">
        <v>11323</v>
      </c>
    </row>
    <row r="2738" spans="1:2" ht="15">
      <c r="A2738" s="113" t="s">
        <v>7044</v>
      </c>
      <c r="B2738" s="112" t="s">
        <v>11323</v>
      </c>
    </row>
    <row r="2739" spans="1:2" ht="15">
      <c r="A2739" s="113" t="s">
        <v>7045</v>
      </c>
      <c r="B2739" s="112" t="s">
        <v>11323</v>
      </c>
    </row>
    <row r="2740" spans="1:2" ht="15">
      <c r="A2740" s="113" t="s">
        <v>7046</v>
      </c>
      <c r="B2740" s="112" t="s">
        <v>11323</v>
      </c>
    </row>
    <row r="2741" spans="1:2" ht="15">
      <c r="A2741" s="113" t="s">
        <v>7047</v>
      </c>
      <c r="B2741" s="112" t="s">
        <v>11323</v>
      </c>
    </row>
    <row r="2742" spans="1:2" ht="15">
      <c r="A2742" s="113" t="s">
        <v>7048</v>
      </c>
      <c r="B2742" s="112" t="s">
        <v>11323</v>
      </c>
    </row>
    <row r="2743" spans="1:2" ht="15">
      <c r="A2743" s="113" t="s">
        <v>7049</v>
      </c>
      <c r="B2743" s="112" t="s">
        <v>11323</v>
      </c>
    </row>
    <row r="2744" spans="1:2" ht="15">
      <c r="A2744" s="113" t="s">
        <v>7050</v>
      </c>
      <c r="B2744" s="112" t="s">
        <v>11323</v>
      </c>
    </row>
    <row r="2745" spans="1:2" ht="15">
      <c r="A2745" s="113" t="s">
        <v>7051</v>
      </c>
      <c r="B2745" s="112" t="s">
        <v>11323</v>
      </c>
    </row>
    <row r="2746" spans="1:2" ht="15">
      <c r="A2746" s="113" t="s">
        <v>7052</v>
      </c>
      <c r="B2746" s="112" t="s">
        <v>11323</v>
      </c>
    </row>
    <row r="2747" spans="1:2" ht="15">
      <c r="A2747" s="113" t="s">
        <v>7053</v>
      </c>
      <c r="B2747" s="112" t="s">
        <v>11323</v>
      </c>
    </row>
    <row r="2748" spans="1:2" ht="15">
      <c r="A2748" s="113" t="s">
        <v>7054</v>
      </c>
      <c r="B2748" s="112" t="s">
        <v>11323</v>
      </c>
    </row>
    <row r="2749" spans="1:2" ht="15">
      <c r="A2749" s="113" t="s">
        <v>7055</v>
      </c>
      <c r="B2749" s="112" t="s">
        <v>11323</v>
      </c>
    </row>
    <row r="2750" spans="1:2" ht="15">
      <c r="A2750" s="113" t="s">
        <v>7056</v>
      </c>
      <c r="B2750" s="112" t="s">
        <v>11323</v>
      </c>
    </row>
    <row r="2751" spans="1:2" ht="15">
      <c r="A2751" s="113" t="s">
        <v>7057</v>
      </c>
      <c r="B2751" s="112" t="s">
        <v>11323</v>
      </c>
    </row>
    <row r="2752" spans="1:2" ht="15">
      <c r="A2752" s="113" t="s">
        <v>7058</v>
      </c>
      <c r="B2752" s="112" t="s">
        <v>11323</v>
      </c>
    </row>
    <row r="2753" spans="1:2" ht="15">
      <c r="A2753" s="113" t="s">
        <v>7059</v>
      </c>
      <c r="B2753" s="112" t="s">
        <v>11323</v>
      </c>
    </row>
    <row r="2754" spans="1:2" ht="15">
      <c r="A2754" s="113" t="s">
        <v>7060</v>
      </c>
      <c r="B2754" s="112" t="s">
        <v>11323</v>
      </c>
    </row>
    <row r="2755" spans="1:2" ht="15">
      <c r="A2755" s="113" t="s">
        <v>7061</v>
      </c>
      <c r="B2755" s="112" t="s">
        <v>11323</v>
      </c>
    </row>
    <row r="2756" spans="1:2" ht="15">
      <c r="A2756" s="113" t="s">
        <v>7062</v>
      </c>
      <c r="B2756" s="112" t="s">
        <v>11323</v>
      </c>
    </row>
    <row r="2757" spans="1:2" ht="15">
      <c r="A2757" s="113" t="s">
        <v>7063</v>
      </c>
      <c r="B2757" s="112" t="s">
        <v>11323</v>
      </c>
    </row>
    <row r="2758" spans="1:2" ht="15">
      <c r="A2758" s="113" t="s">
        <v>7064</v>
      </c>
      <c r="B2758" s="112" t="s">
        <v>11323</v>
      </c>
    </row>
    <row r="2759" spans="1:2" ht="15">
      <c r="A2759" s="113" t="s">
        <v>7065</v>
      </c>
      <c r="B2759" s="112" t="s">
        <v>11323</v>
      </c>
    </row>
    <row r="2760" spans="1:2" ht="15">
      <c r="A2760" s="113" t="s">
        <v>7066</v>
      </c>
      <c r="B2760" s="112" t="s">
        <v>11323</v>
      </c>
    </row>
    <row r="2761" spans="1:2" ht="15">
      <c r="A2761" s="113" t="s">
        <v>7067</v>
      </c>
      <c r="B2761" s="112" t="s">
        <v>11323</v>
      </c>
    </row>
    <row r="2762" spans="1:2" ht="15">
      <c r="A2762" s="113" t="s">
        <v>7068</v>
      </c>
      <c r="B2762" s="112" t="s">
        <v>11323</v>
      </c>
    </row>
    <row r="2763" spans="1:2" ht="15">
      <c r="A2763" s="113" t="s">
        <v>7069</v>
      </c>
      <c r="B2763" s="112" t="s">
        <v>11323</v>
      </c>
    </row>
    <row r="2764" spans="1:2" ht="15">
      <c r="A2764" s="113" t="s">
        <v>7070</v>
      </c>
      <c r="B2764" s="112" t="s">
        <v>11323</v>
      </c>
    </row>
    <row r="2765" spans="1:2" ht="15">
      <c r="A2765" s="113" t="s">
        <v>7071</v>
      </c>
      <c r="B2765" s="112" t="s">
        <v>11323</v>
      </c>
    </row>
    <row r="2766" spans="1:2" ht="15">
      <c r="A2766" s="113" t="s">
        <v>7072</v>
      </c>
      <c r="B2766" s="112" t="s">
        <v>11323</v>
      </c>
    </row>
    <row r="2767" spans="1:2" ht="15">
      <c r="A2767" s="113" t="s">
        <v>7073</v>
      </c>
      <c r="B2767" s="112" t="s">
        <v>11323</v>
      </c>
    </row>
    <row r="2768" spans="1:2" ht="15">
      <c r="A2768" s="113" t="s">
        <v>7074</v>
      </c>
      <c r="B2768" s="112" t="s">
        <v>11323</v>
      </c>
    </row>
    <row r="2769" spans="1:2" ht="15">
      <c r="A2769" s="113" t="s">
        <v>7075</v>
      </c>
      <c r="B2769" s="112" t="s">
        <v>11323</v>
      </c>
    </row>
    <row r="2770" spans="1:2" ht="15">
      <c r="A2770" s="113" t="s">
        <v>7076</v>
      </c>
      <c r="B2770" s="112" t="s">
        <v>11323</v>
      </c>
    </row>
    <row r="2771" spans="1:2" ht="15">
      <c r="A2771" s="113" t="s">
        <v>7077</v>
      </c>
      <c r="B2771" s="112" t="s">
        <v>11323</v>
      </c>
    </row>
    <row r="2772" spans="1:2" ht="15">
      <c r="A2772" s="113" t="s">
        <v>7078</v>
      </c>
      <c r="B2772" s="112" t="s">
        <v>11323</v>
      </c>
    </row>
    <row r="2773" spans="1:2" ht="15">
      <c r="A2773" s="113" t="s">
        <v>7079</v>
      </c>
      <c r="B2773" s="112" t="s">
        <v>11323</v>
      </c>
    </row>
    <row r="2774" spans="1:2" ht="15">
      <c r="A2774" s="113" t="s">
        <v>7080</v>
      </c>
      <c r="B2774" s="112" t="s">
        <v>11323</v>
      </c>
    </row>
    <row r="2775" spans="1:2" ht="15">
      <c r="A2775" s="113" t="s">
        <v>7081</v>
      </c>
      <c r="B2775" s="112" t="s">
        <v>11323</v>
      </c>
    </row>
    <row r="2776" spans="1:2" ht="15">
      <c r="A2776" s="113" t="s">
        <v>7082</v>
      </c>
      <c r="B2776" s="112" t="s">
        <v>11323</v>
      </c>
    </row>
    <row r="2777" spans="1:2" ht="15">
      <c r="A2777" s="113" t="s">
        <v>7083</v>
      </c>
      <c r="B2777" s="112" t="s">
        <v>11323</v>
      </c>
    </row>
    <row r="2778" spans="1:2" ht="15">
      <c r="A2778" s="113" t="s">
        <v>7084</v>
      </c>
      <c r="B2778" s="112" t="s">
        <v>11323</v>
      </c>
    </row>
    <row r="2779" spans="1:2" ht="15">
      <c r="A2779" s="113" t="s">
        <v>7085</v>
      </c>
      <c r="B2779" s="112" t="s">
        <v>11323</v>
      </c>
    </row>
    <row r="2780" spans="1:2" ht="15">
      <c r="A2780" s="113" t="s">
        <v>7086</v>
      </c>
      <c r="B2780" s="112" t="s">
        <v>11323</v>
      </c>
    </row>
    <row r="2781" spans="1:2" ht="15">
      <c r="A2781" s="113" t="s">
        <v>7087</v>
      </c>
      <c r="B2781" s="112" t="s">
        <v>11323</v>
      </c>
    </row>
    <row r="2782" spans="1:2" ht="15">
      <c r="A2782" s="113" t="s">
        <v>7088</v>
      </c>
      <c r="B2782" s="112" t="s">
        <v>11323</v>
      </c>
    </row>
    <row r="2783" spans="1:2" ht="15">
      <c r="A2783" s="113" t="s">
        <v>7089</v>
      </c>
      <c r="B2783" s="112" t="s">
        <v>11323</v>
      </c>
    </row>
    <row r="2784" spans="1:2" ht="15">
      <c r="A2784" s="113" t="s">
        <v>7090</v>
      </c>
      <c r="B2784" s="112" t="s">
        <v>11323</v>
      </c>
    </row>
    <row r="2785" spans="1:2" ht="15">
      <c r="A2785" s="113" t="s">
        <v>7091</v>
      </c>
      <c r="B2785" s="112" t="s">
        <v>11323</v>
      </c>
    </row>
    <row r="2786" spans="1:2" ht="15">
      <c r="A2786" s="113" t="s">
        <v>7092</v>
      </c>
      <c r="B2786" s="112" t="s">
        <v>11323</v>
      </c>
    </row>
    <row r="2787" spans="1:2" ht="15">
      <c r="A2787" s="113" t="s">
        <v>7093</v>
      </c>
      <c r="B2787" s="112" t="s">
        <v>11323</v>
      </c>
    </row>
    <row r="2788" spans="1:2" ht="15">
      <c r="A2788" s="113" t="s">
        <v>7094</v>
      </c>
      <c r="B2788" s="112" t="s">
        <v>11323</v>
      </c>
    </row>
    <row r="2789" spans="1:2" ht="15">
      <c r="A2789" s="113" t="s">
        <v>7095</v>
      </c>
      <c r="B2789" s="112" t="s">
        <v>11323</v>
      </c>
    </row>
    <row r="2790" spans="1:2" ht="15">
      <c r="A2790" s="113" t="s">
        <v>7096</v>
      </c>
      <c r="B2790" s="112" t="s">
        <v>11323</v>
      </c>
    </row>
    <row r="2791" spans="1:2" ht="15">
      <c r="A2791" s="113" t="s">
        <v>7097</v>
      </c>
      <c r="B2791" s="112" t="s">
        <v>11323</v>
      </c>
    </row>
    <row r="2792" spans="1:2" ht="15">
      <c r="A2792" s="113" t="s">
        <v>7098</v>
      </c>
      <c r="B2792" s="112" t="s">
        <v>11323</v>
      </c>
    </row>
    <row r="2793" spans="1:2" ht="15">
      <c r="A2793" s="113" t="s">
        <v>7099</v>
      </c>
      <c r="B2793" s="112" t="s">
        <v>11323</v>
      </c>
    </row>
    <row r="2794" spans="1:2" ht="15">
      <c r="A2794" s="113" t="s">
        <v>7100</v>
      </c>
      <c r="B2794" s="112" t="s">
        <v>11323</v>
      </c>
    </row>
    <row r="2795" spans="1:2" ht="15">
      <c r="A2795" s="113" t="s">
        <v>7101</v>
      </c>
      <c r="B2795" s="112" t="s">
        <v>11323</v>
      </c>
    </row>
    <row r="2796" spans="1:2" ht="15">
      <c r="A2796" s="113" t="s">
        <v>7102</v>
      </c>
      <c r="B2796" s="112" t="s">
        <v>11323</v>
      </c>
    </row>
    <row r="2797" spans="1:2" ht="15">
      <c r="A2797" s="113" t="s">
        <v>7103</v>
      </c>
      <c r="B2797" s="112" t="s">
        <v>11323</v>
      </c>
    </row>
    <row r="2798" spans="1:2" ht="15">
      <c r="A2798" s="113" t="s">
        <v>7104</v>
      </c>
      <c r="B2798" s="112" t="s">
        <v>11323</v>
      </c>
    </row>
    <row r="2799" spans="1:2" ht="15">
      <c r="A2799" s="113" t="s">
        <v>7105</v>
      </c>
      <c r="B2799" s="112" t="s">
        <v>11323</v>
      </c>
    </row>
    <row r="2800" spans="1:2" ht="15">
      <c r="A2800" s="113" t="s">
        <v>7106</v>
      </c>
      <c r="B2800" s="112" t="s">
        <v>11323</v>
      </c>
    </row>
    <row r="2801" spans="1:2" ht="15">
      <c r="A2801" s="113" t="s">
        <v>7107</v>
      </c>
      <c r="B2801" s="112" t="s">
        <v>11323</v>
      </c>
    </row>
    <row r="2802" spans="1:2" ht="15">
      <c r="A2802" s="113" t="s">
        <v>7108</v>
      </c>
      <c r="B2802" s="112" t="s">
        <v>11323</v>
      </c>
    </row>
    <row r="2803" spans="1:2" ht="15">
      <c r="A2803" s="113" t="s">
        <v>7109</v>
      </c>
      <c r="B2803" s="112" t="s">
        <v>11323</v>
      </c>
    </row>
    <row r="2804" spans="1:2" ht="15">
      <c r="A2804" s="113" t="s">
        <v>7110</v>
      </c>
      <c r="B2804" s="112" t="s">
        <v>11323</v>
      </c>
    </row>
    <row r="2805" spans="1:2" ht="15">
      <c r="A2805" s="113" t="s">
        <v>7111</v>
      </c>
      <c r="B2805" s="112" t="s">
        <v>11323</v>
      </c>
    </row>
    <row r="2806" spans="1:2" ht="15">
      <c r="A2806" s="113" t="s">
        <v>7112</v>
      </c>
      <c r="B2806" s="112" t="s">
        <v>11323</v>
      </c>
    </row>
    <row r="2807" spans="1:2" ht="15">
      <c r="A2807" s="113" t="s">
        <v>7113</v>
      </c>
      <c r="B2807" s="112" t="s">
        <v>11323</v>
      </c>
    </row>
    <row r="2808" spans="1:2" ht="15">
      <c r="A2808" s="113" t="s">
        <v>7114</v>
      </c>
      <c r="B2808" s="112" t="s">
        <v>11323</v>
      </c>
    </row>
    <row r="2809" spans="1:2" ht="15">
      <c r="A2809" s="113" t="s">
        <v>7115</v>
      </c>
      <c r="B2809" s="112" t="s">
        <v>11323</v>
      </c>
    </row>
    <row r="2810" spans="1:2" ht="15">
      <c r="A2810" s="113" t="s">
        <v>7116</v>
      </c>
      <c r="B2810" s="112" t="s">
        <v>11323</v>
      </c>
    </row>
    <row r="2811" spans="1:2" ht="15">
      <c r="A2811" s="113" t="s">
        <v>7117</v>
      </c>
      <c r="B2811" s="112" t="s">
        <v>11323</v>
      </c>
    </row>
    <row r="2812" spans="1:2" ht="15">
      <c r="A2812" s="113" t="s">
        <v>7118</v>
      </c>
      <c r="B2812" s="112" t="s">
        <v>11323</v>
      </c>
    </row>
    <row r="2813" spans="1:2" ht="15">
      <c r="A2813" s="113" t="s">
        <v>7119</v>
      </c>
      <c r="B2813" s="112" t="s">
        <v>11323</v>
      </c>
    </row>
    <row r="2814" spans="1:2" ht="15">
      <c r="A2814" s="113" t="s">
        <v>7120</v>
      </c>
      <c r="B2814" s="112" t="s">
        <v>11323</v>
      </c>
    </row>
    <row r="2815" spans="1:2" ht="15">
      <c r="A2815" s="113" t="s">
        <v>7121</v>
      </c>
      <c r="B2815" s="112" t="s">
        <v>11323</v>
      </c>
    </row>
    <row r="2816" spans="1:2" ht="15">
      <c r="A2816" s="113" t="s">
        <v>7122</v>
      </c>
      <c r="B2816" s="112" t="s">
        <v>11323</v>
      </c>
    </row>
    <row r="2817" spans="1:2" ht="15">
      <c r="A2817" s="113" t="s">
        <v>7123</v>
      </c>
      <c r="B2817" s="112" t="s">
        <v>11323</v>
      </c>
    </row>
    <row r="2818" spans="1:2" ht="15">
      <c r="A2818" s="113" t="s">
        <v>7124</v>
      </c>
      <c r="B2818" s="112" t="s">
        <v>11323</v>
      </c>
    </row>
    <row r="2819" spans="1:2" ht="15">
      <c r="A2819" s="113" t="s">
        <v>7125</v>
      </c>
      <c r="B2819" s="112" t="s">
        <v>11323</v>
      </c>
    </row>
    <row r="2820" spans="1:2" ht="15">
      <c r="A2820" s="113" t="s">
        <v>7126</v>
      </c>
      <c r="B2820" s="112" t="s">
        <v>11323</v>
      </c>
    </row>
    <row r="2821" spans="1:2" ht="15">
      <c r="A2821" s="113" t="s">
        <v>7127</v>
      </c>
      <c r="B2821" s="112" t="s">
        <v>11323</v>
      </c>
    </row>
    <row r="2822" spans="1:2" ht="15">
      <c r="A2822" s="113" t="s">
        <v>7128</v>
      </c>
      <c r="B2822" s="112" t="s">
        <v>11323</v>
      </c>
    </row>
    <row r="2823" spans="1:2" ht="15">
      <c r="A2823" s="113" t="s">
        <v>7129</v>
      </c>
      <c r="B2823" s="112" t="s">
        <v>11323</v>
      </c>
    </row>
    <row r="2824" spans="1:2" ht="15">
      <c r="A2824" s="113" t="s">
        <v>7130</v>
      </c>
      <c r="B2824" s="112" t="s">
        <v>11323</v>
      </c>
    </row>
    <row r="2825" spans="1:2" ht="15">
      <c r="A2825" s="113" t="s">
        <v>7131</v>
      </c>
      <c r="B2825" s="112" t="s">
        <v>11323</v>
      </c>
    </row>
    <row r="2826" spans="1:2" ht="15">
      <c r="A2826" s="113" t="s">
        <v>7132</v>
      </c>
      <c r="B2826" s="112" t="s">
        <v>11323</v>
      </c>
    </row>
    <row r="2827" spans="1:2" ht="15">
      <c r="A2827" s="113" t="s">
        <v>7133</v>
      </c>
      <c r="B2827" s="112" t="s">
        <v>11323</v>
      </c>
    </row>
    <row r="2828" spans="1:2" ht="15">
      <c r="A2828" s="113" t="s">
        <v>7134</v>
      </c>
      <c r="B2828" s="112" t="s">
        <v>11323</v>
      </c>
    </row>
    <row r="2829" spans="1:2" ht="15">
      <c r="A2829" s="113" t="s">
        <v>7135</v>
      </c>
      <c r="B2829" s="112" t="s">
        <v>11323</v>
      </c>
    </row>
    <row r="2830" spans="1:2" ht="15">
      <c r="A2830" s="113" t="s">
        <v>7136</v>
      </c>
      <c r="B2830" s="112" t="s">
        <v>11323</v>
      </c>
    </row>
    <row r="2831" spans="1:2" ht="15">
      <c r="A2831" s="113" t="s">
        <v>7137</v>
      </c>
      <c r="B2831" s="112" t="s">
        <v>11323</v>
      </c>
    </row>
    <row r="2832" spans="1:2" ht="15">
      <c r="A2832" s="113" t="s">
        <v>7138</v>
      </c>
      <c r="B2832" s="112" t="s">
        <v>11323</v>
      </c>
    </row>
    <row r="2833" spans="1:2" ht="15">
      <c r="A2833" s="113" t="s">
        <v>7139</v>
      </c>
      <c r="B2833" s="112" t="s">
        <v>11323</v>
      </c>
    </row>
    <row r="2834" spans="1:2" ht="15">
      <c r="A2834" s="113" t="s">
        <v>7140</v>
      </c>
      <c r="B2834" s="112" t="s">
        <v>11323</v>
      </c>
    </row>
    <row r="2835" spans="1:2" ht="15">
      <c r="A2835" s="113" t="s">
        <v>7141</v>
      </c>
      <c r="B2835" s="112" t="s">
        <v>11323</v>
      </c>
    </row>
    <row r="2836" spans="1:2" ht="15">
      <c r="A2836" s="113" t="s">
        <v>7142</v>
      </c>
      <c r="B2836" s="112" t="s">
        <v>11323</v>
      </c>
    </row>
    <row r="2837" spans="1:2" ht="15">
      <c r="A2837" s="113" t="s">
        <v>7143</v>
      </c>
      <c r="B2837" s="112" t="s">
        <v>11323</v>
      </c>
    </row>
    <row r="2838" spans="1:2" ht="15">
      <c r="A2838" s="113" t="s">
        <v>7144</v>
      </c>
      <c r="B2838" s="112" t="s">
        <v>11323</v>
      </c>
    </row>
    <row r="2839" spans="1:2" ht="15">
      <c r="A2839" s="113" t="s">
        <v>7145</v>
      </c>
      <c r="B2839" s="112" t="s">
        <v>11323</v>
      </c>
    </row>
    <row r="2840" spans="1:2" ht="15">
      <c r="A2840" s="113" t="s">
        <v>7146</v>
      </c>
      <c r="B2840" s="112" t="s">
        <v>11323</v>
      </c>
    </row>
    <row r="2841" spans="1:2" ht="15">
      <c r="A2841" s="113" t="s">
        <v>7147</v>
      </c>
      <c r="B2841" s="112" t="s">
        <v>11323</v>
      </c>
    </row>
    <row r="2842" spans="1:2" ht="15">
      <c r="A2842" s="113" t="s">
        <v>7148</v>
      </c>
      <c r="B2842" s="112" t="s">
        <v>11323</v>
      </c>
    </row>
    <row r="2843" spans="1:2" ht="15">
      <c r="A2843" s="113" t="s">
        <v>7149</v>
      </c>
      <c r="B2843" s="112" t="s">
        <v>11323</v>
      </c>
    </row>
    <row r="2844" spans="1:2" ht="15">
      <c r="A2844" s="113" t="s">
        <v>7150</v>
      </c>
      <c r="B2844" s="112" t="s">
        <v>11323</v>
      </c>
    </row>
    <row r="2845" spans="1:2" ht="15">
      <c r="A2845" s="113" t="s">
        <v>7151</v>
      </c>
      <c r="B2845" s="112" t="s">
        <v>11323</v>
      </c>
    </row>
    <row r="2846" spans="1:2" ht="15">
      <c r="A2846" s="113" t="s">
        <v>7152</v>
      </c>
      <c r="B2846" s="112" t="s">
        <v>11323</v>
      </c>
    </row>
    <row r="2847" spans="1:2" ht="15">
      <c r="A2847" s="113" t="s">
        <v>7153</v>
      </c>
      <c r="B2847" s="112" t="s">
        <v>11323</v>
      </c>
    </row>
    <row r="2848" spans="1:2" ht="15">
      <c r="A2848" s="113" t="s">
        <v>7154</v>
      </c>
      <c r="B2848" s="112" t="s">
        <v>11323</v>
      </c>
    </row>
    <row r="2849" spans="1:2" ht="15">
      <c r="A2849" s="113" t="s">
        <v>7155</v>
      </c>
      <c r="B2849" s="112" t="s">
        <v>11323</v>
      </c>
    </row>
    <row r="2850" spans="1:2" ht="15">
      <c r="A2850" s="113" t="s">
        <v>7156</v>
      </c>
      <c r="B2850" s="112" t="s">
        <v>11323</v>
      </c>
    </row>
    <row r="2851" spans="1:2" ht="15">
      <c r="A2851" s="113" t="s">
        <v>7157</v>
      </c>
      <c r="B2851" s="112" t="s">
        <v>11323</v>
      </c>
    </row>
    <row r="2852" spans="1:2" ht="15">
      <c r="A2852" s="113" t="s">
        <v>7158</v>
      </c>
      <c r="B2852" s="112" t="s">
        <v>11323</v>
      </c>
    </row>
    <row r="2853" spans="1:2" ht="15">
      <c r="A2853" s="113" t="s">
        <v>7159</v>
      </c>
      <c r="B2853" s="112" t="s">
        <v>11323</v>
      </c>
    </row>
    <row r="2854" spans="1:2" ht="15">
      <c r="A2854" s="113" t="s">
        <v>7160</v>
      </c>
      <c r="B2854" s="112" t="s">
        <v>11323</v>
      </c>
    </row>
    <row r="2855" spans="1:2" ht="15">
      <c r="A2855" s="113" t="s">
        <v>7161</v>
      </c>
      <c r="B2855" s="112" t="s">
        <v>11323</v>
      </c>
    </row>
    <row r="2856" spans="1:2" ht="15">
      <c r="A2856" s="113" t="s">
        <v>7162</v>
      </c>
      <c r="B2856" s="112" t="s">
        <v>11323</v>
      </c>
    </row>
    <row r="2857" spans="1:2" ht="15">
      <c r="A2857" s="113" t="s">
        <v>7163</v>
      </c>
      <c r="B2857" s="112" t="s">
        <v>11323</v>
      </c>
    </row>
    <row r="2858" spans="1:2" ht="15">
      <c r="A2858" s="113" t="s">
        <v>7164</v>
      </c>
      <c r="B2858" s="112" t="s">
        <v>11323</v>
      </c>
    </row>
    <row r="2859" spans="1:2" ht="15">
      <c r="A2859" s="113" t="s">
        <v>7165</v>
      </c>
      <c r="B2859" s="112" t="s">
        <v>11323</v>
      </c>
    </row>
    <row r="2860" spans="1:2" ht="15">
      <c r="A2860" s="113" t="s">
        <v>7166</v>
      </c>
      <c r="B2860" s="112" t="s">
        <v>11323</v>
      </c>
    </row>
    <row r="2861" spans="1:2" ht="15">
      <c r="A2861" s="113" t="s">
        <v>7167</v>
      </c>
      <c r="B2861" s="112" t="s">
        <v>11323</v>
      </c>
    </row>
    <row r="2862" spans="1:2" ht="15">
      <c r="A2862" s="113" t="s">
        <v>7168</v>
      </c>
      <c r="B2862" s="112" t="s">
        <v>11323</v>
      </c>
    </row>
    <row r="2863" spans="1:2" ht="15">
      <c r="A2863" s="113" t="s">
        <v>7169</v>
      </c>
      <c r="B2863" s="112" t="s">
        <v>11323</v>
      </c>
    </row>
    <row r="2864" spans="1:2" ht="15">
      <c r="A2864" s="113" t="s">
        <v>7170</v>
      </c>
      <c r="B2864" s="112" t="s">
        <v>11323</v>
      </c>
    </row>
    <row r="2865" spans="1:2" ht="15">
      <c r="A2865" s="113" t="s">
        <v>7171</v>
      </c>
      <c r="B2865" s="112" t="s">
        <v>11323</v>
      </c>
    </row>
    <row r="2866" spans="1:2" ht="15">
      <c r="A2866" s="113" t="s">
        <v>7172</v>
      </c>
      <c r="B2866" s="112" t="s">
        <v>11323</v>
      </c>
    </row>
    <row r="2867" spans="1:2" ht="15">
      <c r="A2867" s="113" t="s">
        <v>7173</v>
      </c>
      <c r="B2867" s="112" t="s">
        <v>11323</v>
      </c>
    </row>
    <row r="2868" spans="1:2" ht="15">
      <c r="A2868" s="113" t="s">
        <v>7174</v>
      </c>
      <c r="B2868" s="112" t="s">
        <v>11323</v>
      </c>
    </row>
    <row r="2869" spans="1:2" ht="15">
      <c r="A2869" s="113" t="s">
        <v>7175</v>
      </c>
      <c r="B2869" s="112" t="s">
        <v>11323</v>
      </c>
    </row>
    <row r="2870" spans="1:2" ht="15">
      <c r="A2870" s="113" t="s">
        <v>7176</v>
      </c>
      <c r="B2870" s="112" t="s">
        <v>11323</v>
      </c>
    </row>
    <row r="2871" spans="1:2" ht="15">
      <c r="A2871" s="113" t="s">
        <v>7177</v>
      </c>
      <c r="B2871" s="112" t="s">
        <v>11323</v>
      </c>
    </row>
    <row r="2872" spans="1:2" ht="15">
      <c r="A2872" s="113" t="s">
        <v>7178</v>
      </c>
      <c r="B2872" s="112" t="s">
        <v>11323</v>
      </c>
    </row>
    <row r="2873" spans="1:2" ht="15">
      <c r="A2873" s="113" t="s">
        <v>7179</v>
      </c>
      <c r="B2873" s="112" t="s">
        <v>11323</v>
      </c>
    </row>
    <row r="2874" spans="1:2" ht="15">
      <c r="A2874" s="113" t="s">
        <v>7180</v>
      </c>
      <c r="B2874" s="112" t="s">
        <v>11323</v>
      </c>
    </row>
    <row r="2875" spans="1:2" ht="15">
      <c r="A2875" s="113" t="s">
        <v>7181</v>
      </c>
      <c r="B2875" s="112" t="s">
        <v>11323</v>
      </c>
    </row>
    <row r="2876" spans="1:2" ht="15">
      <c r="A2876" s="113" t="s">
        <v>7182</v>
      </c>
      <c r="B2876" s="112" t="s">
        <v>11323</v>
      </c>
    </row>
    <row r="2877" spans="1:2" ht="15">
      <c r="A2877" s="113" t="s">
        <v>7183</v>
      </c>
      <c r="B2877" s="112" t="s">
        <v>11323</v>
      </c>
    </row>
    <row r="2878" spans="1:2" ht="15">
      <c r="A2878" s="113" t="s">
        <v>7184</v>
      </c>
      <c r="B2878" s="112" t="s">
        <v>11323</v>
      </c>
    </row>
    <row r="2879" spans="1:2" ht="15">
      <c r="A2879" s="113" t="s">
        <v>7185</v>
      </c>
      <c r="B2879" s="112" t="s">
        <v>11323</v>
      </c>
    </row>
    <row r="2880" spans="1:2" ht="15">
      <c r="A2880" s="113" t="s">
        <v>7186</v>
      </c>
      <c r="B2880" s="112" t="s">
        <v>11323</v>
      </c>
    </row>
    <row r="2881" spans="1:2" ht="15">
      <c r="A2881" s="113" t="s">
        <v>7187</v>
      </c>
      <c r="B2881" s="112" t="s">
        <v>11323</v>
      </c>
    </row>
    <row r="2882" spans="1:2" ht="15">
      <c r="A2882" s="113" t="s">
        <v>7188</v>
      </c>
      <c r="B2882" s="112" t="s">
        <v>11323</v>
      </c>
    </row>
    <row r="2883" spans="1:2" ht="15">
      <c r="A2883" s="113" t="s">
        <v>7189</v>
      </c>
      <c r="B2883" s="112" t="s">
        <v>11323</v>
      </c>
    </row>
    <row r="2884" spans="1:2" ht="15">
      <c r="A2884" s="113" t="s">
        <v>7190</v>
      </c>
      <c r="B2884" s="112" t="s">
        <v>11323</v>
      </c>
    </row>
    <row r="2885" spans="1:2" ht="15">
      <c r="A2885" s="113" t="s">
        <v>7191</v>
      </c>
      <c r="B2885" s="112" t="s">
        <v>11323</v>
      </c>
    </row>
    <row r="2886" spans="1:2" ht="15">
      <c r="A2886" s="113" t="s">
        <v>7192</v>
      </c>
      <c r="B2886" s="112" t="s">
        <v>11323</v>
      </c>
    </row>
    <row r="2887" spans="1:2" ht="15">
      <c r="A2887" s="113" t="s">
        <v>7193</v>
      </c>
      <c r="B2887" s="112" t="s">
        <v>11323</v>
      </c>
    </row>
    <row r="2888" spans="1:2" ht="15">
      <c r="A2888" s="113" t="s">
        <v>7194</v>
      </c>
      <c r="B2888" s="112" t="s">
        <v>11323</v>
      </c>
    </row>
    <row r="2889" spans="1:2" ht="15">
      <c r="A2889" s="113" t="s">
        <v>7195</v>
      </c>
      <c r="B2889" s="112" t="s">
        <v>11323</v>
      </c>
    </row>
    <row r="2890" spans="1:2" ht="15">
      <c r="A2890" s="113" t="s">
        <v>7196</v>
      </c>
      <c r="B2890" s="112" t="s">
        <v>11323</v>
      </c>
    </row>
    <row r="2891" spans="1:2" ht="15">
      <c r="A2891" s="113" t="s">
        <v>7197</v>
      </c>
      <c r="B2891" s="112" t="s">
        <v>11323</v>
      </c>
    </row>
    <row r="2892" spans="1:2" ht="15">
      <c r="A2892" s="113" t="s">
        <v>7198</v>
      </c>
      <c r="B2892" s="112" t="s">
        <v>11323</v>
      </c>
    </row>
    <row r="2893" spans="1:2" ht="15">
      <c r="A2893" s="113" t="s">
        <v>7199</v>
      </c>
      <c r="B2893" s="112" t="s">
        <v>11323</v>
      </c>
    </row>
    <row r="2894" spans="1:2" ht="15">
      <c r="A2894" s="113" t="s">
        <v>7200</v>
      </c>
      <c r="B2894" s="112" t="s">
        <v>11323</v>
      </c>
    </row>
    <row r="2895" spans="1:2" ht="15">
      <c r="A2895" s="113" t="s">
        <v>7201</v>
      </c>
      <c r="B2895" s="112" t="s">
        <v>11323</v>
      </c>
    </row>
    <row r="2896" spans="1:2" ht="15">
      <c r="A2896" s="113" t="s">
        <v>7202</v>
      </c>
      <c r="B2896" s="112" t="s">
        <v>11323</v>
      </c>
    </row>
    <row r="2897" spans="1:2" ht="15">
      <c r="A2897" s="113" t="s">
        <v>7203</v>
      </c>
      <c r="B2897" s="112" t="s">
        <v>11323</v>
      </c>
    </row>
    <row r="2898" spans="1:2" ht="15">
      <c r="A2898" s="113" t="s">
        <v>7204</v>
      </c>
      <c r="B2898" s="112" t="s">
        <v>11323</v>
      </c>
    </row>
    <row r="2899" spans="1:2" ht="15">
      <c r="A2899" s="113" t="s">
        <v>7205</v>
      </c>
      <c r="B2899" s="112" t="s">
        <v>11323</v>
      </c>
    </row>
    <row r="2900" spans="1:2" ht="15">
      <c r="A2900" s="113" t="s">
        <v>7206</v>
      </c>
      <c r="B2900" s="112" t="s">
        <v>11323</v>
      </c>
    </row>
    <row r="2901" spans="1:2" ht="15">
      <c r="A2901" s="113" t="s">
        <v>7207</v>
      </c>
      <c r="B2901" s="112" t="s">
        <v>11323</v>
      </c>
    </row>
    <row r="2902" spans="1:2" ht="15">
      <c r="A2902" s="113" t="s">
        <v>7208</v>
      </c>
      <c r="B2902" s="112" t="s">
        <v>11323</v>
      </c>
    </row>
    <row r="2903" spans="1:2" ht="15">
      <c r="A2903" s="113" t="s">
        <v>7209</v>
      </c>
      <c r="B2903" s="112" t="s">
        <v>11323</v>
      </c>
    </row>
    <row r="2904" spans="1:2" ht="15">
      <c r="A2904" s="113" t="s">
        <v>7210</v>
      </c>
      <c r="B2904" s="112" t="s">
        <v>11323</v>
      </c>
    </row>
    <row r="2905" spans="1:2" ht="15">
      <c r="A2905" s="113" t="s">
        <v>7211</v>
      </c>
      <c r="B2905" s="112" t="s">
        <v>11323</v>
      </c>
    </row>
    <row r="2906" spans="1:2" ht="15">
      <c r="A2906" s="113" t="s">
        <v>7212</v>
      </c>
      <c r="B2906" s="112" t="s">
        <v>11323</v>
      </c>
    </row>
    <row r="2907" spans="1:2" ht="15">
      <c r="A2907" s="113" t="s">
        <v>7213</v>
      </c>
      <c r="B2907" s="112" t="s">
        <v>11323</v>
      </c>
    </row>
    <row r="2908" spans="1:2" ht="15">
      <c r="A2908" s="113" t="s">
        <v>7214</v>
      </c>
      <c r="B2908" s="112" t="s">
        <v>11323</v>
      </c>
    </row>
    <row r="2909" spans="1:2" ht="15">
      <c r="A2909" s="113" t="s">
        <v>7215</v>
      </c>
      <c r="B2909" s="112" t="s">
        <v>11323</v>
      </c>
    </row>
    <row r="2910" spans="1:2" ht="15">
      <c r="A2910" s="113" t="s">
        <v>7216</v>
      </c>
      <c r="B2910" s="112" t="s">
        <v>11323</v>
      </c>
    </row>
    <row r="2911" spans="1:2" ht="15">
      <c r="A2911" s="113" t="s">
        <v>7217</v>
      </c>
      <c r="B2911" s="112" t="s">
        <v>11323</v>
      </c>
    </row>
    <row r="2912" spans="1:2" ht="15">
      <c r="A2912" s="113" t="s">
        <v>7218</v>
      </c>
      <c r="B2912" s="112" t="s">
        <v>11323</v>
      </c>
    </row>
    <row r="2913" spans="1:2" ht="15">
      <c r="A2913" s="113" t="s">
        <v>7219</v>
      </c>
      <c r="B2913" s="112" t="s">
        <v>11323</v>
      </c>
    </row>
    <row r="2914" spans="1:2" ht="15">
      <c r="A2914" s="113" t="s">
        <v>7220</v>
      </c>
      <c r="B2914" s="112" t="s">
        <v>11323</v>
      </c>
    </row>
    <row r="2915" spans="1:2" ht="15">
      <c r="A2915" s="113" t="s">
        <v>7221</v>
      </c>
      <c r="B2915" s="112" t="s">
        <v>11323</v>
      </c>
    </row>
    <row r="2916" spans="1:2" ht="15">
      <c r="A2916" s="113" t="s">
        <v>7222</v>
      </c>
      <c r="B2916" s="112" t="s">
        <v>11323</v>
      </c>
    </row>
    <row r="2917" spans="1:2" ht="15">
      <c r="A2917" s="113" t="s">
        <v>7223</v>
      </c>
      <c r="B2917" s="112" t="s">
        <v>11323</v>
      </c>
    </row>
    <row r="2918" spans="1:2" ht="15">
      <c r="A2918" s="113" t="s">
        <v>7224</v>
      </c>
      <c r="B2918" s="112" t="s">
        <v>11323</v>
      </c>
    </row>
    <row r="2919" spans="1:2" ht="15">
      <c r="A2919" s="113" t="s">
        <v>7225</v>
      </c>
      <c r="B2919" s="112" t="s">
        <v>11323</v>
      </c>
    </row>
    <row r="2920" spans="1:2" ht="15">
      <c r="A2920" s="113" t="s">
        <v>7226</v>
      </c>
      <c r="B2920" s="112" t="s">
        <v>11323</v>
      </c>
    </row>
    <row r="2921" spans="1:2" ht="15">
      <c r="A2921" s="113" t="s">
        <v>7227</v>
      </c>
      <c r="B2921" s="112" t="s">
        <v>11323</v>
      </c>
    </row>
    <row r="2922" spans="1:2" ht="15">
      <c r="A2922" s="113" t="s">
        <v>7228</v>
      </c>
      <c r="B2922" s="112" t="s">
        <v>11323</v>
      </c>
    </row>
    <row r="2923" spans="1:2" ht="15">
      <c r="A2923" s="113" t="s">
        <v>7229</v>
      </c>
      <c r="B2923" s="112" t="s">
        <v>11323</v>
      </c>
    </row>
    <row r="2924" spans="1:2" ht="15">
      <c r="A2924" s="113" t="s">
        <v>7230</v>
      </c>
      <c r="B2924" s="112" t="s">
        <v>11323</v>
      </c>
    </row>
    <row r="2925" spans="1:2" ht="15">
      <c r="A2925" s="113" t="s">
        <v>7231</v>
      </c>
      <c r="B2925" s="112" t="s">
        <v>11323</v>
      </c>
    </row>
    <row r="2926" spans="1:2" ht="15">
      <c r="A2926" s="113" t="s">
        <v>7232</v>
      </c>
      <c r="B2926" s="112" t="s">
        <v>11323</v>
      </c>
    </row>
    <row r="2927" spans="1:2" ht="15">
      <c r="A2927" s="113" t="s">
        <v>7233</v>
      </c>
      <c r="B2927" s="112" t="s">
        <v>11323</v>
      </c>
    </row>
    <row r="2928" spans="1:2" ht="15">
      <c r="A2928" s="113" t="s">
        <v>7234</v>
      </c>
      <c r="B2928" s="112" t="s">
        <v>11323</v>
      </c>
    </row>
    <row r="2929" spans="1:2" ht="15">
      <c r="A2929" s="113" t="s">
        <v>7235</v>
      </c>
      <c r="B2929" s="112" t="s">
        <v>11323</v>
      </c>
    </row>
    <row r="2930" spans="1:2" ht="15">
      <c r="A2930" s="113" t="s">
        <v>7236</v>
      </c>
      <c r="B2930" s="112" t="s">
        <v>11323</v>
      </c>
    </row>
    <row r="2931" spans="1:2" ht="15">
      <c r="A2931" s="113" t="s">
        <v>7237</v>
      </c>
      <c r="B2931" s="112" t="s">
        <v>11323</v>
      </c>
    </row>
    <row r="2932" spans="1:2" ht="15">
      <c r="A2932" s="113" t="s">
        <v>7238</v>
      </c>
      <c r="B2932" s="112" t="s">
        <v>11323</v>
      </c>
    </row>
    <row r="2933" spans="1:2" ht="15">
      <c r="A2933" s="113" t="s">
        <v>7239</v>
      </c>
      <c r="B2933" s="112" t="s">
        <v>11323</v>
      </c>
    </row>
    <row r="2934" spans="1:2" ht="15">
      <c r="A2934" s="113" t="s">
        <v>7240</v>
      </c>
      <c r="B2934" s="112" t="s">
        <v>11323</v>
      </c>
    </row>
    <row r="2935" spans="1:2" ht="15">
      <c r="A2935" s="113" t="s">
        <v>7241</v>
      </c>
      <c r="B2935" s="112" t="s">
        <v>11323</v>
      </c>
    </row>
    <row r="2936" spans="1:2" ht="15">
      <c r="A2936" s="113" t="s">
        <v>7242</v>
      </c>
      <c r="B2936" s="112" t="s">
        <v>11323</v>
      </c>
    </row>
    <row r="2937" spans="1:2" ht="15">
      <c r="A2937" s="113" t="s">
        <v>7243</v>
      </c>
      <c r="B2937" s="112" t="s">
        <v>11323</v>
      </c>
    </row>
    <row r="2938" spans="1:2" ht="15">
      <c r="A2938" s="113" t="s">
        <v>7244</v>
      </c>
      <c r="B2938" s="112" t="s">
        <v>11323</v>
      </c>
    </row>
    <row r="2939" spans="1:2" ht="15">
      <c r="A2939" s="113" t="s">
        <v>7245</v>
      </c>
      <c r="B2939" s="112" t="s">
        <v>11323</v>
      </c>
    </row>
    <row r="2940" spans="1:2" ht="15">
      <c r="A2940" s="113" t="s">
        <v>7246</v>
      </c>
      <c r="B2940" s="112" t="s">
        <v>11323</v>
      </c>
    </row>
    <row r="2941" spans="1:2" ht="15">
      <c r="A2941" s="113" t="s">
        <v>7247</v>
      </c>
      <c r="B2941" s="112" t="s">
        <v>11323</v>
      </c>
    </row>
    <row r="2942" spans="1:2" ht="15">
      <c r="A2942" s="113" t="s">
        <v>7248</v>
      </c>
      <c r="B2942" s="112" t="s">
        <v>11323</v>
      </c>
    </row>
    <row r="2943" spans="1:2" ht="15">
      <c r="A2943" s="113" t="s">
        <v>7249</v>
      </c>
      <c r="B2943" s="112" t="s">
        <v>11323</v>
      </c>
    </row>
    <row r="2944" spans="1:2" ht="15">
      <c r="A2944" s="113" t="s">
        <v>7250</v>
      </c>
      <c r="B2944" s="112" t="s">
        <v>11323</v>
      </c>
    </row>
    <row r="2945" spans="1:2" ht="15">
      <c r="A2945" s="113" t="s">
        <v>7251</v>
      </c>
      <c r="B2945" s="112" t="s">
        <v>11323</v>
      </c>
    </row>
    <row r="2946" spans="1:2" ht="15">
      <c r="A2946" s="113" t="s">
        <v>7252</v>
      </c>
      <c r="B2946" s="112" t="s">
        <v>11323</v>
      </c>
    </row>
    <row r="2947" spans="1:2" ht="15">
      <c r="A2947" s="113" t="s">
        <v>7253</v>
      </c>
      <c r="B2947" s="112" t="s">
        <v>11323</v>
      </c>
    </row>
    <row r="2948" spans="1:2" ht="15">
      <c r="A2948" s="113" t="s">
        <v>7254</v>
      </c>
      <c r="B2948" s="112" t="s">
        <v>11323</v>
      </c>
    </row>
    <row r="2949" spans="1:2" ht="15">
      <c r="A2949" s="113" t="s">
        <v>7255</v>
      </c>
      <c r="B2949" s="112" t="s">
        <v>11323</v>
      </c>
    </row>
    <row r="2950" spans="1:2" ht="15">
      <c r="A2950" s="113" t="s">
        <v>7256</v>
      </c>
      <c r="B2950" s="112" t="s">
        <v>11323</v>
      </c>
    </row>
    <row r="2951" spans="1:2" ht="15">
      <c r="A2951" s="113" t="s">
        <v>7257</v>
      </c>
      <c r="B2951" s="112" t="s">
        <v>11323</v>
      </c>
    </row>
    <row r="2952" spans="1:2" ht="15">
      <c r="A2952" s="113" t="s">
        <v>7258</v>
      </c>
      <c r="B2952" s="112" t="s">
        <v>11323</v>
      </c>
    </row>
    <row r="2953" spans="1:2" ht="15">
      <c r="A2953" s="113" t="s">
        <v>7259</v>
      </c>
      <c r="B2953" s="112" t="s">
        <v>11323</v>
      </c>
    </row>
    <row r="2954" spans="1:2" ht="15">
      <c r="A2954" s="113" t="s">
        <v>7260</v>
      </c>
      <c r="B2954" s="112" t="s">
        <v>11323</v>
      </c>
    </row>
    <row r="2955" spans="1:2" ht="15">
      <c r="A2955" s="113" t="s">
        <v>7261</v>
      </c>
      <c r="B2955" s="112" t="s">
        <v>11323</v>
      </c>
    </row>
    <row r="2956" spans="1:2" ht="15">
      <c r="A2956" s="113" t="s">
        <v>7262</v>
      </c>
      <c r="B2956" s="112" t="s">
        <v>11323</v>
      </c>
    </row>
    <row r="2957" spans="1:2" ht="15">
      <c r="A2957" s="113" t="s">
        <v>7263</v>
      </c>
      <c r="B2957" s="112" t="s">
        <v>11323</v>
      </c>
    </row>
    <row r="2958" spans="1:2" ht="15">
      <c r="A2958" s="113" t="s">
        <v>7264</v>
      </c>
      <c r="B2958" s="112" t="s">
        <v>11323</v>
      </c>
    </row>
    <row r="2959" spans="1:2" ht="15">
      <c r="A2959" s="113" t="s">
        <v>7265</v>
      </c>
      <c r="B2959" s="112" t="s">
        <v>11323</v>
      </c>
    </row>
    <row r="2960" spans="1:2" ht="15">
      <c r="A2960" s="113" t="s">
        <v>7266</v>
      </c>
      <c r="B2960" s="112" t="s">
        <v>11323</v>
      </c>
    </row>
    <row r="2961" spans="1:2" ht="15">
      <c r="A2961" s="113" t="s">
        <v>7267</v>
      </c>
      <c r="B2961" s="112" t="s">
        <v>11323</v>
      </c>
    </row>
    <row r="2962" spans="1:2" ht="15">
      <c r="A2962" s="113" t="s">
        <v>7268</v>
      </c>
      <c r="B2962" s="112" t="s">
        <v>11323</v>
      </c>
    </row>
    <row r="2963" spans="1:2" ht="15">
      <c r="A2963" s="113" t="s">
        <v>7269</v>
      </c>
      <c r="B2963" s="112" t="s">
        <v>11323</v>
      </c>
    </row>
    <row r="2964" spans="1:2" ht="15">
      <c r="A2964" s="113" t="s">
        <v>7270</v>
      </c>
      <c r="B2964" s="112" t="s">
        <v>11323</v>
      </c>
    </row>
    <row r="2965" spans="1:2" ht="15">
      <c r="A2965" s="113" t="s">
        <v>7271</v>
      </c>
      <c r="B2965" s="112" t="s">
        <v>11323</v>
      </c>
    </row>
    <row r="2966" spans="1:2" ht="15">
      <c r="A2966" s="113" t="s">
        <v>7272</v>
      </c>
      <c r="B2966" s="112" t="s">
        <v>11323</v>
      </c>
    </row>
    <row r="2967" spans="1:2" ht="15">
      <c r="A2967" s="113" t="s">
        <v>7273</v>
      </c>
      <c r="B2967" s="112" t="s">
        <v>11323</v>
      </c>
    </row>
    <row r="2968" spans="1:2" ht="15">
      <c r="A2968" s="113" t="s">
        <v>7274</v>
      </c>
      <c r="B2968" s="112" t="s">
        <v>11323</v>
      </c>
    </row>
    <row r="2969" spans="1:2" ht="15">
      <c r="A2969" s="113" t="s">
        <v>7275</v>
      </c>
      <c r="B2969" s="112" t="s">
        <v>11323</v>
      </c>
    </row>
    <row r="2970" spans="1:2" ht="15">
      <c r="A2970" s="113" t="s">
        <v>7276</v>
      </c>
      <c r="B2970" s="112" t="s">
        <v>11323</v>
      </c>
    </row>
    <row r="2971" spans="1:2" ht="15">
      <c r="A2971" s="113" t="s">
        <v>7277</v>
      </c>
      <c r="B2971" s="112" t="s">
        <v>11323</v>
      </c>
    </row>
    <row r="2972" spans="1:2" ht="15">
      <c r="A2972" s="113" t="s">
        <v>7278</v>
      </c>
      <c r="B2972" s="112" t="s">
        <v>11323</v>
      </c>
    </row>
    <row r="2973" spans="1:2" ht="15">
      <c r="A2973" s="113" t="s">
        <v>7279</v>
      </c>
      <c r="B2973" s="112" t="s">
        <v>11323</v>
      </c>
    </row>
    <row r="2974" spans="1:2" ht="15">
      <c r="A2974" s="113" t="s">
        <v>7280</v>
      </c>
      <c r="B2974" s="112" t="s">
        <v>11323</v>
      </c>
    </row>
    <row r="2975" spans="1:2" ht="15">
      <c r="A2975" s="113" t="s">
        <v>7281</v>
      </c>
      <c r="B2975" s="112" t="s">
        <v>11323</v>
      </c>
    </row>
    <row r="2976" spans="1:2" ht="15">
      <c r="A2976" s="113" t="s">
        <v>7282</v>
      </c>
      <c r="B2976" s="112" t="s">
        <v>11323</v>
      </c>
    </row>
    <row r="2977" spans="1:2" ht="15">
      <c r="A2977" s="113" t="s">
        <v>7283</v>
      </c>
      <c r="B2977" s="112" t="s">
        <v>11323</v>
      </c>
    </row>
    <row r="2978" spans="1:2" ht="15">
      <c r="A2978" s="113" t="s">
        <v>7284</v>
      </c>
      <c r="B2978" s="112" t="s">
        <v>11323</v>
      </c>
    </row>
    <row r="2979" spans="1:2" ht="15">
      <c r="A2979" s="113" t="s">
        <v>7285</v>
      </c>
      <c r="B2979" s="112" t="s">
        <v>11323</v>
      </c>
    </row>
    <row r="2980" spans="1:2" ht="15">
      <c r="A2980" s="113" t="s">
        <v>7286</v>
      </c>
      <c r="B2980" s="112" t="s">
        <v>11323</v>
      </c>
    </row>
    <row r="2981" spans="1:2" ht="15">
      <c r="A2981" s="113" t="s">
        <v>7287</v>
      </c>
      <c r="B2981" s="112" t="s">
        <v>11323</v>
      </c>
    </row>
    <row r="2982" spans="1:2" ht="15">
      <c r="A2982" s="113" t="s">
        <v>7288</v>
      </c>
      <c r="B2982" s="112" t="s">
        <v>11323</v>
      </c>
    </row>
    <row r="2983" spans="1:2" ht="15">
      <c r="A2983" s="113" t="s">
        <v>7289</v>
      </c>
      <c r="B2983" s="112" t="s">
        <v>11323</v>
      </c>
    </row>
    <row r="2984" spans="1:2" ht="15">
      <c r="A2984" s="113" t="s">
        <v>7290</v>
      </c>
      <c r="B2984" s="112" t="s">
        <v>11323</v>
      </c>
    </row>
    <row r="2985" spans="1:2" ht="15">
      <c r="A2985" s="113" t="s">
        <v>7291</v>
      </c>
      <c r="B2985" s="112" t="s">
        <v>11323</v>
      </c>
    </row>
    <row r="2986" spans="1:2" ht="15">
      <c r="A2986" s="113" t="s">
        <v>7292</v>
      </c>
      <c r="B2986" s="112" t="s">
        <v>11323</v>
      </c>
    </row>
    <row r="2987" spans="1:2" ht="15">
      <c r="A2987" s="113" t="s">
        <v>7293</v>
      </c>
      <c r="B2987" s="112" t="s">
        <v>11323</v>
      </c>
    </row>
    <row r="2988" spans="1:2" ht="15">
      <c r="A2988" s="113" t="s">
        <v>7294</v>
      </c>
      <c r="B2988" s="112" t="s">
        <v>11323</v>
      </c>
    </row>
    <row r="2989" spans="1:2" ht="15">
      <c r="A2989" s="113" t="s">
        <v>7295</v>
      </c>
      <c r="B2989" s="112" t="s">
        <v>11323</v>
      </c>
    </row>
    <row r="2990" spans="1:2" ht="15">
      <c r="A2990" s="113" t="s">
        <v>7296</v>
      </c>
      <c r="B2990" s="112" t="s">
        <v>11323</v>
      </c>
    </row>
    <row r="2991" spans="1:2" ht="15">
      <c r="A2991" s="113" t="s">
        <v>7297</v>
      </c>
      <c r="B2991" s="112" t="s">
        <v>11323</v>
      </c>
    </row>
    <row r="2992" spans="1:2" ht="15">
      <c r="A2992" s="113" t="s">
        <v>7298</v>
      </c>
      <c r="B2992" s="112" t="s">
        <v>11323</v>
      </c>
    </row>
    <row r="2993" spans="1:2" ht="15">
      <c r="A2993" s="113" t="s">
        <v>7299</v>
      </c>
      <c r="B2993" s="112" t="s">
        <v>11323</v>
      </c>
    </row>
    <row r="2994" spans="1:2" ht="15">
      <c r="A2994" s="113" t="s">
        <v>7300</v>
      </c>
      <c r="B2994" s="112" t="s">
        <v>11323</v>
      </c>
    </row>
    <row r="2995" spans="1:2" ht="15">
      <c r="A2995" s="113" t="s">
        <v>7301</v>
      </c>
      <c r="B2995" s="112" t="s">
        <v>11323</v>
      </c>
    </row>
    <row r="2996" spans="1:2" ht="15">
      <c r="A2996" s="113" t="s">
        <v>7302</v>
      </c>
      <c r="B2996" s="112" t="s">
        <v>11323</v>
      </c>
    </row>
    <row r="2997" spans="1:2" ht="15">
      <c r="A2997" s="113" t="s">
        <v>7303</v>
      </c>
      <c r="B2997" s="112" t="s">
        <v>11323</v>
      </c>
    </row>
    <row r="2998" spans="1:2" ht="15">
      <c r="A2998" s="113" t="s">
        <v>7304</v>
      </c>
      <c r="B2998" s="112" t="s">
        <v>11323</v>
      </c>
    </row>
    <row r="2999" spans="1:2" ht="15">
      <c r="A2999" s="113" t="s">
        <v>7305</v>
      </c>
      <c r="B2999" s="112" t="s">
        <v>11323</v>
      </c>
    </row>
    <row r="3000" spans="1:2" ht="15">
      <c r="A3000" s="113" t="s">
        <v>7306</v>
      </c>
      <c r="B3000" s="112" t="s">
        <v>11323</v>
      </c>
    </row>
    <row r="3001" spans="1:2" ht="15">
      <c r="A3001" s="113" t="s">
        <v>7307</v>
      </c>
      <c r="B3001" s="112" t="s">
        <v>11323</v>
      </c>
    </row>
    <row r="3002" spans="1:2" ht="15">
      <c r="A3002" s="113" t="s">
        <v>7308</v>
      </c>
      <c r="B3002" s="112" t="s">
        <v>11323</v>
      </c>
    </row>
    <row r="3003" spans="1:2" ht="15">
      <c r="A3003" s="113" t="s">
        <v>7309</v>
      </c>
      <c r="B3003" s="112" t="s">
        <v>11323</v>
      </c>
    </row>
    <row r="3004" spans="1:2" ht="15">
      <c r="A3004" s="113" t="s">
        <v>7310</v>
      </c>
      <c r="B3004" s="112" t="s">
        <v>11323</v>
      </c>
    </row>
    <row r="3005" spans="1:2" ht="15">
      <c r="A3005" s="113" t="s">
        <v>7311</v>
      </c>
      <c r="B3005" s="112" t="s">
        <v>11323</v>
      </c>
    </row>
    <row r="3006" spans="1:2" ht="15">
      <c r="A3006" s="113" t="s">
        <v>7312</v>
      </c>
      <c r="B3006" s="112" t="s">
        <v>11323</v>
      </c>
    </row>
    <row r="3007" spans="1:2" ht="15">
      <c r="A3007" s="113" t="s">
        <v>7313</v>
      </c>
      <c r="B3007" s="112" t="s">
        <v>11323</v>
      </c>
    </row>
    <row r="3008" spans="1:2" ht="15">
      <c r="A3008" s="113" t="s">
        <v>7314</v>
      </c>
      <c r="B3008" s="112" t="s">
        <v>11323</v>
      </c>
    </row>
    <row r="3009" spans="1:2" ht="15">
      <c r="A3009" s="113" t="s">
        <v>7315</v>
      </c>
      <c r="B3009" s="112" t="s">
        <v>11323</v>
      </c>
    </row>
    <row r="3010" spans="1:2" ht="15">
      <c r="A3010" s="113" t="s">
        <v>7316</v>
      </c>
      <c r="B3010" s="112" t="s">
        <v>11323</v>
      </c>
    </row>
    <row r="3011" spans="1:2" ht="15">
      <c r="A3011" s="113" t="s">
        <v>7317</v>
      </c>
      <c r="B3011" s="112" t="s">
        <v>11323</v>
      </c>
    </row>
    <row r="3012" spans="1:2" ht="15">
      <c r="A3012" s="113" t="s">
        <v>7318</v>
      </c>
      <c r="B3012" s="112" t="s">
        <v>11323</v>
      </c>
    </row>
    <row r="3013" spans="1:2" ht="15">
      <c r="A3013" s="113" t="s">
        <v>7319</v>
      </c>
      <c r="B3013" s="112" t="s">
        <v>11323</v>
      </c>
    </row>
    <row r="3014" spans="1:2" ht="15">
      <c r="A3014" s="113" t="s">
        <v>7320</v>
      </c>
      <c r="B3014" s="112" t="s">
        <v>11323</v>
      </c>
    </row>
    <row r="3015" spans="1:2" ht="15">
      <c r="A3015" s="113" t="s">
        <v>7321</v>
      </c>
      <c r="B3015" s="112" t="s">
        <v>11323</v>
      </c>
    </row>
    <row r="3016" spans="1:2" ht="15">
      <c r="A3016" s="113" t="s">
        <v>7322</v>
      </c>
      <c r="B3016" s="112" t="s">
        <v>11323</v>
      </c>
    </row>
    <row r="3017" spans="1:2" ht="15">
      <c r="A3017" s="113" t="s">
        <v>7323</v>
      </c>
      <c r="B3017" s="112" t="s">
        <v>11323</v>
      </c>
    </row>
    <row r="3018" spans="1:2" ht="15">
      <c r="A3018" s="113" t="s">
        <v>7324</v>
      </c>
      <c r="B3018" s="112" t="s">
        <v>11323</v>
      </c>
    </row>
    <row r="3019" spans="1:2" ht="15">
      <c r="A3019" s="113" t="s">
        <v>7325</v>
      </c>
      <c r="B3019" s="112" t="s">
        <v>11323</v>
      </c>
    </row>
    <row r="3020" spans="1:2" ht="15">
      <c r="A3020" s="113" t="s">
        <v>7326</v>
      </c>
      <c r="B3020" s="112" t="s">
        <v>11323</v>
      </c>
    </row>
    <row r="3021" spans="1:2" ht="15">
      <c r="A3021" s="113" t="s">
        <v>7327</v>
      </c>
      <c r="B3021" s="112" t="s">
        <v>11323</v>
      </c>
    </row>
    <row r="3022" spans="1:2" ht="15">
      <c r="A3022" s="113" t="s">
        <v>7328</v>
      </c>
      <c r="B3022" s="112" t="s">
        <v>11323</v>
      </c>
    </row>
    <row r="3023" spans="1:2" ht="15">
      <c r="A3023" s="113" t="s">
        <v>7329</v>
      </c>
      <c r="B3023" s="112" t="s">
        <v>11323</v>
      </c>
    </row>
    <row r="3024" spans="1:2" ht="15">
      <c r="A3024" s="113" t="s">
        <v>7330</v>
      </c>
      <c r="B3024" s="112" t="s">
        <v>11323</v>
      </c>
    </row>
    <row r="3025" spans="1:2" ht="15">
      <c r="A3025" s="113" t="s">
        <v>7331</v>
      </c>
      <c r="B3025" s="112" t="s">
        <v>11323</v>
      </c>
    </row>
    <row r="3026" spans="1:2" ht="15">
      <c r="A3026" s="113" t="s">
        <v>7332</v>
      </c>
      <c r="B3026" s="112" t="s">
        <v>11323</v>
      </c>
    </row>
    <row r="3027" spans="1:2" ht="15">
      <c r="A3027" s="113" t="s">
        <v>7333</v>
      </c>
      <c r="B3027" s="112" t="s">
        <v>11323</v>
      </c>
    </row>
    <row r="3028" spans="1:2" ht="15">
      <c r="A3028" s="113" t="s">
        <v>7334</v>
      </c>
      <c r="B3028" s="112" t="s">
        <v>11323</v>
      </c>
    </row>
    <row r="3029" spans="1:2" ht="15">
      <c r="A3029" s="113" t="s">
        <v>7335</v>
      </c>
      <c r="B3029" s="112" t="s">
        <v>11323</v>
      </c>
    </row>
    <row r="3030" spans="1:2" ht="15">
      <c r="A3030" s="113" t="s">
        <v>7336</v>
      </c>
      <c r="B3030" s="112" t="s">
        <v>11323</v>
      </c>
    </row>
    <row r="3031" spans="1:2" ht="15">
      <c r="A3031" s="113" t="s">
        <v>7337</v>
      </c>
      <c r="B3031" s="112" t="s">
        <v>11323</v>
      </c>
    </row>
    <row r="3032" spans="1:2" ht="15">
      <c r="A3032" s="113" t="s">
        <v>7338</v>
      </c>
      <c r="B3032" s="112" t="s">
        <v>11323</v>
      </c>
    </row>
    <row r="3033" spans="1:2" ht="15">
      <c r="A3033" s="113" t="s">
        <v>7339</v>
      </c>
      <c r="B3033" s="112" t="s">
        <v>11323</v>
      </c>
    </row>
    <row r="3034" spans="1:2" ht="15">
      <c r="A3034" s="113" t="s">
        <v>7340</v>
      </c>
      <c r="B3034" s="112" t="s">
        <v>11323</v>
      </c>
    </row>
    <row r="3035" spans="1:2" ht="15">
      <c r="A3035" s="113" t="s">
        <v>7341</v>
      </c>
      <c r="B3035" s="112" t="s">
        <v>11323</v>
      </c>
    </row>
    <row r="3036" spans="1:2" ht="15">
      <c r="A3036" s="113" t="s">
        <v>7342</v>
      </c>
      <c r="B3036" s="112" t="s">
        <v>11323</v>
      </c>
    </row>
    <row r="3037" spans="1:2" ht="15">
      <c r="A3037" s="113" t="s">
        <v>7343</v>
      </c>
      <c r="B3037" s="112" t="s">
        <v>11323</v>
      </c>
    </row>
    <row r="3038" spans="1:2" ht="15">
      <c r="A3038" s="113" t="s">
        <v>7344</v>
      </c>
      <c r="B3038" s="112" t="s">
        <v>11323</v>
      </c>
    </row>
    <row r="3039" spans="1:2" ht="15">
      <c r="A3039" s="113" t="s">
        <v>7345</v>
      </c>
      <c r="B3039" s="112" t="s">
        <v>11323</v>
      </c>
    </row>
    <row r="3040" spans="1:2" ht="15">
      <c r="A3040" s="113" t="s">
        <v>7346</v>
      </c>
      <c r="B3040" s="112" t="s">
        <v>11323</v>
      </c>
    </row>
    <row r="3041" spans="1:2" ht="15">
      <c r="A3041" s="113" t="s">
        <v>7347</v>
      </c>
      <c r="B3041" s="112" t="s">
        <v>11323</v>
      </c>
    </row>
    <row r="3042" spans="1:2" ht="15">
      <c r="A3042" s="113" t="s">
        <v>7348</v>
      </c>
      <c r="B3042" s="112" t="s">
        <v>11323</v>
      </c>
    </row>
    <row r="3043" spans="1:2" ht="15">
      <c r="A3043" s="113" t="s">
        <v>7349</v>
      </c>
      <c r="B3043" s="112" t="s">
        <v>11323</v>
      </c>
    </row>
    <row r="3044" spans="1:2" ht="15">
      <c r="A3044" s="113" t="s">
        <v>7350</v>
      </c>
      <c r="B3044" s="112" t="s">
        <v>11323</v>
      </c>
    </row>
    <row r="3045" spans="1:2" ht="15">
      <c r="A3045" s="113" t="s">
        <v>7351</v>
      </c>
      <c r="B3045" s="112" t="s">
        <v>11323</v>
      </c>
    </row>
    <row r="3046" spans="1:2" ht="15">
      <c r="A3046" s="113" t="s">
        <v>7352</v>
      </c>
      <c r="B3046" s="112" t="s">
        <v>11323</v>
      </c>
    </row>
    <row r="3047" spans="1:2" ht="15">
      <c r="A3047" s="113" t="s">
        <v>7353</v>
      </c>
      <c r="B3047" s="112" t="s">
        <v>11323</v>
      </c>
    </row>
    <row r="3048" spans="1:2" ht="15">
      <c r="A3048" s="113" t="s">
        <v>7354</v>
      </c>
      <c r="B3048" s="112" t="s">
        <v>11323</v>
      </c>
    </row>
    <row r="3049" spans="1:2" ht="15">
      <c r="A3049" s="113" t="s">
        <v>7355</v>
      </c>
      <c r="B3049" s="112" t="s">
        <v>11323</v>
      </c>
    </row>
    <row r="3050" spans="1:2" ht="15">
      <c r="A3050" s="113" t="s">
        <v>7356</v>
      </c>
      <c r="B3050" s="112" t="s">
        <v>11323</v>
      </c>
    </row>
    <row r="3051" spans="1:2" ht="15">
      <c r="A3051" s="113" t="s">
        <v>7357</v>
      </c>
      <c r="B3051" s="112" t="s">
        <v>11323</v>
      </c>
    </row>
    <row r="3052" spans="1:2" ht="15">
      <c r="A3052" s="113" t="s">
        <v>7358</v>
      </c>
      <c r="B3052" s="112" t="s">
        <v>11323</v>
      </c>
    </row>
    <row r="3053" spans="1:2" ht="15">
      <c r="A3053" s="113" t="s">
        <v>7359</v>
      </c>
      <c r="B3053" s="112" t="s">
        <v>11323</v>
      </c>
    </row>
    <row r="3054" spans="1:2" ht="15">
      <c r="A3054" s="113" t="s">
        <v>7360</v>
      </c>
      <c r="B3054" s="112" t="s">
        <v>11323</v>
      </c>
    </row>
    <row r="3055" spans="1:2" ht="15">
      <c r="A3055" s="113" t="s">
        <v>7361</v>
      </c>
      <c r="B3055" s="112" t="s">
        <v>11323</v>
      </c>
    </row>
    <row r="3056" spans="1:2" ht="15">
      <c r="A3056" s="113" t="s">
        <v>7362</v>
      </c>
      <c r="B3056" s="112" t="s">
        <v>11323</v>
      </c>
    </row>
    <row r="3057" spans="1:2" ht="15">
      <c r="A3057" s="113" t="s">
        <v>7363</v>
      </c>
      <c r="B3057" s="112" t="s">
        <v>11323</v>
      </c>
    </row>
    <row r="3058" spans="1:2" ht="15">
      <c r="A3058" s="113" t="s">
        <v>7364</v>
      </c>
      <c r="B3058" s="112" t="s">
        <v>11323</v>
      </c>
    </row>
    <row r="3059" spans="1:2" ht="15">
      <c r="A3059" s="113" t="s">
        <v>7365</v>
      </c>
      <c r="B3059" s="112" t="s">
        <v>11323</v>
      </c>
    </row>
    <row r="3060" spans="1:2" ht="15">
      <c r="A3060" s="113" t="s">
        <v>7366</v>
      </c>
      <c r="B3060" s="112" t="s">
        <v>11323</v>
      </c>
    </row>
    <row r="3061" spans="1:2" ht="15">
      <c r="A3061" s="113" t="s">
        <v>7367</v>
      </c>
      <c r="B3061" s="112" t="s">
        <v>11323</v>
      </c>
    </row>
    <row r="3062" spans="1:2" ht="15">
      <c r="A3062" s="113" t="s">
        <v>7368</v>
      </c>
      <c r="B3062" s="112" t="s">
        <v>11323</v>
      </c>
    </row>
    <row r="3063" spans="1:2" ht="15">
      <c r="A3063" s="113" t="s">
        <v>7369</v>
      </c>
      <c r="B3063" s="112" t="s">
        <v>11323</v>
      </c>
    </row>
    <row r="3064" spans="1:2" ht="15">
      <c r="A3064" s="113" t="s">
        <v>7370</v>
      </c>
      <c r="B3064" s="112" t="s">
        <v>11323</v>
      </c>
    </row>
    <row r="3065" spans="1:2" ht="15">
      <c r="A3065" s="113" t="s">
        <v>7371</v>
      </c>
      <c r="B3065" s="112" t="s">
        <v>11323</v>
      </c>
    </row>
    <row r="3066" spans="1:2" ht="15">
      <c r="A3066" s="113" t="s">
        <v>7372</v>
      </c>
      <c r="B3066" s="112" t="s">
        <v>11323</v>
      </c>
    </row>
    <row r="3067" spans="1:2" ht="15">
      <c r="A3067" s="113" t="s">
        <v>7373</v>
      </c>
      <c r="B3067" s="112" t="s">
        <v>11323</v>
      </c>
    </row>
    <row r="3068" spans="1:2" ht="15">
      <c r="A3068" s="113" t="s">
        <v>7374</v>
      </c>
      <c r="B3068" s="112" t="s">
        <v>11323</v>
      </c>
    </row>
    <row r="3069" spans="1:2" ht="15">
      <c r="A3069" s="113" t="s">
        <v>7375</v>
      </c>
      <c r="B3069" s="112" t="s">
        <v>11323</v>
      </c>
    </row>
    <row r="3070" spans="1:2" ht="15">
      <c r="A3070" s="113" t="s">
        <v>7376</v>
      </c>
      <c r="B3070" s="112" t="s">
        <v>11323</v>
      </c>
    </row>
    <row r="3071" spans="1:2" ht="15">
      <c r="A3071" s="113" t="s">
        <v>7377</v>
      </c>
      <c r="B3071" s="112" t="s">
        <v>11323</v>
      </c>
    </row>
    <row r="3072" spans="1:2" ht="15">
      <c r="A3072" s="113" t="s">
        <v>7378</v>
      </c>
      <c r="B3072" s="112" t="s">
        <v>11323</v>
      </c>
    </row>
    <row r="3073" spans="1:2" ht="15">
      <c r="A3073" s="113" t="s">
        <v>7379</v>
      </c>
      <c r="B3073" s="112" t="s">
        <v>11323</v>
      </c>
    </row>
    <row r="3074" spans="1:2" ht="15">
      <c r="A3074" s="113" t="s">
        <v>7380</v>
      </c>
      <c r="B3074" s="112" t="s">
        <v>11323</v>
      </c>
    </row>
    <row r="3075" spans="1:2" ht="15">
      <c r="A3075" s="113" t="s">
        <v>7381</v>
      </c>
      <c r="B3075" s="112" t="s">
        <v>11323</v>
      </c>
    </row>
    <row r="3076" spans="1:2" ht="15">
      <c r="A3076" s="113" t="s">
        <v>7382</v>
      </c>
      <c r="B3076" s="112" t="s">
        <v>11323</v>
      </c>
    </row>
    <row r="3077" spans="1:2" ht="15">
      <c r="A3077" s="113" t="s">
        <v>7383</v>
      </c>
      <c r="B3077" s="112" t="s">
        <v>11323</v>
      </c>
    </row>
    <row r="3078" spans="1:2" ht="15">
      <c r="A3078" s="113" t="s">
        <v>7384</v>
      </c>
      <c r="B3078" s="112" t="s">
        <v>11323</v>
      </c>
    </row>
    <row r="3079" spans="1:2" ht="15">
      <c r="A3079" s="113" t="s">
        <v>7385</v>
      </c>
      <c r="B3079" s="112" t="s">
        <v>11323</v>
      </c>
    </row>
    <row r="3080" spans="1:2" ht="15">
      <c r="A3080" s="113" t="s">
        <v>7386</v>
      </c>
      <c r="B3080" s="112" t="s">
        <v>11323</v>
      </c>
    </row>
    <row r="3081" spans="1:2" ht="15">
      <c r="A3081" s="113" t="s">
        <v>7387</v>
      </c>
      <c r="B3081" s="112" t="s">
        <v>11323</v>
      </c>
    </row>
    <row r="3082" spans="1:2" ht="15">
      <c r="A3082" s="113" t="s">
        <v>7388</v>
      </c>
      <c r="B3082" s="112" t="s">
        <v>11323</v>
      </c>
    </row>
    <row r="3083" spans="1:2" ht="15">
      <c r="A3083" s="113" t="s">
        <v>7389</v>
      </c>
      <c r="B3083" s="112" t="s">
        <v>11323</v>
      </c>
    </row>
    <row r="3084" spans="1:2" ht="15">
      <c r="A3084" s="113" t="s">
        <v>7390</v>
      </c>
      <c r="B3084" s="112" t="s">
        <v>11323</v>
      </c>
    </row>
    <row r="3085" spans="1:2" ht="15">
      <c r="A3085" s="113" t="s">
        <v>7391</v>
      </c>
      <c r="B3085" s="112" t="s">
        <v>11323</v>
      </c>
    </row>
    <row r="3086" spans="1:2" ht="15">
      <c r="A3086" s="113" t="s">
        <v>7392</v>
      </c>
      <c r="B3086" s="112" t="s">
        <v>11323</v>
      </c>
    </row>
    <row r="3087" spans="1:2" ht="15">
      <c r="A3087" s="113" t="s">
        <v>7393</v>
      </c>
      <c r="B3087" s="112" t="s">
        <v>11323</v>
      </c>
    </row>
    <row r="3088" spans="1:2" ht="15">
      <c r="A3088" s="113" t="s">
        <v>7394</v>
      </c>
      <c r="B3088" s="112" t="s">
        <v>11323</v>
      </c>
    </row>
    <row r="3089" spans="1:2" ht="15">
      <c r="A3089" s="113" t="s">
        <v>7395</v>
      </c>
      <c r="B3089" s="112" t="s">
        <v>11323</v>
      </c>
    </row>
    <row r="3090" spans="1:2" ht="15">
      <c r="A3090" s="113" t="s">
        <v>7396</v>
      </c>
      <c r="B3090" s="112" t="s">
        <v>11323</v>
      </c>
    </row>
    <row r="3091" spans="1:2" ht="15">
      <c r="A3091" s="113" t="s">
        <v>7397</v>
      </c>
      <c r="B3091" s="112" t="s">
        <v>11323</v>
      </c>
    </row>
    <row r="3092" spans="1:2" ht="15">
      <c r="A3092" s="113" t="s">
        <v>7398</v>
      </c>
      <c r="B3092" s="112" t="s">
        <v>11323</v>
      </c>
    </row>
    <row r="3093" spans="1:2" ht="15">
      <c r="A3093" s="113" t="s">
        <v>7399</v>
      </c>
      <c r="B3093" s="112" t="s">
        <v>11323</v>
      </c>
    </row>
    <row r="3094" spans="1:2" ht="15">
      <c r="A3094" s="113" t="s">
        <v>7400</v>
      </c>
      <c r="B3094" s="112" t="s">
        <v>11323</v>
      </c>
    </row>
    <row r="3095" spans="1:2" ht="15">
      <c r="A3095" s="113" t="s">
        <v>7401</v>
      </c>
      <c r="B3095" s="112" t="s">
        <v>11323</v>
      </c>
    </row>
    <row r="3096" spans="1:2" ht="15">
      <c r="A3096" s="113" t="s">
        <v>7402</v>
      </c>
      <c r="B3096" s="112" t="s">
        <v>11323</v>
      </c>
    </row>
    <row r="3097" spans="1:2" ht="15">
      <c r="A3097" s="113" t="s">
        <v>7403</v>
      </c>
      <c r="B3097" s="112" t="s">
        <v>11323</v>
      </c>
    </row>
    <row r="3098" spans="1:2" ht="15">
      <c r="A3098" s="113" t="s">
        <v>7404</v>
      </c>
      <c r="B3098" s="112" t="s">
        <v>11323</v>
      </c>
    </row>
    <row r="3099" spans="1:2" ht="15">
      <c r="A3099" s="113" t="s">
        <v>7405</v>
      </c>
      <c r="B3099" s="112" t="s">
        <v>11323</v>
      </c>
    </row>
    <row r="3100" spans="1:2" ht="15">
      <c r="A3100" s="113" t="s">
        <v>7406</v>
      </c>
      <c r="B3100" s="112" t="s">
        <v>11323</v>
      </c>
    </row>
    <row r="3101" spans="1:2" ht="15">
      <c r="A3101" s="113" t="s">
        <v>7407</v>
      </c>
      <c r="B3101" s="112" t="s">
        <v>11323</v>
      </c>
    </row>
    <row r="3102" spans="1:2" ht="15">
      <c r="A3102" s="113" t="s">
        <v>7408</v>
      </c>
      <c r="B3102" s="112" t="s">
        <v>11323</v>
      </c>
    </row>
    <row r="3103" spans="1:2" ht="15">
      <c r="A3103" s="113" t="s">
        <v>7409</v>
      </c>
      <c r="B3103" s="112" t="s">
        <v>11323</v>
      </c>
    </row>
    <row r="3104" spans="1:2" ht="15">
      <c r="A3104" s="113" t="s">
        <v>7410</v>
      </c>
      <c r="B3104" s="112" t="s">
        <v>11323</v>
      </c>
    </row>
    <row r="3105" spans="1:2" ht="15">
      <c r="A3105" s="113" t="s">
        <v>7411</v>
      </c>
      <c r="B3105" s="112" t="s">
        <v>11323</v>
      </c>
    </row>
    <row r="3106" spans="1:2" ht="15">
      <c r="A3106" s="113" t="s">
        <v>7412</v>
      </c>
      <c r="B3106" s="112" t="s">
        <v>11323</v>
      </c>
    </row>
    <row r="3107" spans="1:2" ht="15">
      <c r="A3107" s="113" t="s">
        <v>7413</v>
      </c>
      <c r="B3107" s="112" t="s">
        <v>11323</v>
      </c>
    </row>
    <row r="3108" spans="1:2" ht="15">
      <c r="A3108" s="113" t="s">
        <v>7414</v>
      </c>
      <c r="B3108" s="112" t="s">
        <v>11323</v>
      </c>
    </row>
    <row r="3109" spans="1:2" ht="15">
      <c r="A3109" s="113" t="s">
        <v>7415</v>
      </c>
      <c r="B3109" s="112" t="s">
        <v>11323</v>
      </c>
    </row>
    <row r="3110" spans="1:2" ht="15">
      <c r="A3110" s="113" t="s">
        <v>7416</v>
      </c>
      <c r="B3110" s="112" t="s">
        <v>11323</v>
      </c>
    </row>
    <row r="3111" spans="1:2" ht="15">
      <c r="A3111" s="113" t="s">
        <v>7417</v>
      </c>
      <c r="B3111" s="112" t="s">
        <v>11323</v>
      </c>
    </row>
    <row r="3112" spans="1:2" ht="15">
      <c r="A3112" s="113" t="s">
        <v>7418</v>
      </c>
      <c r="B3112" s="112" t="s">
        <v>11323</v>
      </c>
    </row>
    <row r="3113" spans="1:2" ht="15">
      <c r="A3113" s="113" t="s">
        <v>7419</v>
      </c>
      <c r="B3113" s="112" t="s">
        <v>11323</v>
      </c>
    </row>
    <row r="3114" spans="1:2" ht="15">
      <c r="A3114" s="113" t="s">
        <v>7420</v>
      </c>
      <c r="B3114" s="112" t="s">
        <v>11323</v>
      </c>
    </row>
    <row r="3115" spans="1:2" ht="15">
      <c r="A3115" s="113" t="s">
        <v>7421</v>
      </c>
      <c r="B3115" s="112" t="s">
        <v>11323</v>
      </c>
    </row>
    <row r="3116" spans="1:2" ht="15">
      <c r="A3116" s="113" t="s">
        <v>7422</v>
      </c>
      <c r="B3116" s="112" t="s">
        <v>11323</v>
      </c>
    </row>
    <row r="3117" spans="1:2" ht="15">
      <c r="A3117" s="113" t="s">
        <v>7423</v>
      </c>
      <c r="B3117" s="112" t="s">
        <v>11323</v>
      </c>
    </row>
    <row r="3118" spans="1:2" ht="15">
      <c r="A3118" s="113" t="s">
        <v>7424</v>
      </c>
      <c r="B3118" s="112" t="s">
        <v>11323</v>
      </c>
    </row>
    <row r="3119" spans="1:2" ht="15">
      <c r="A3119" s="113" t="s">
        <v>7425</v>
      </c>
      <c r="B3119" s="112" t="s">
        <v>11323</v>
      </c>
    </row>
    <row r="3120" spans="1:2" ht="15">
      <c r="A3120" s="113" t="s">
        <v>7426</v>
      </c>
      <c r="B3120" s="112" t="s">
        <v>11323</v>
      </c>
    </row>
    <row r="3121" spans="1:2" ht="15">
      <c r="A3121" s="113" t="s">
        <v>7427</v>
      </c>
      <c r="B3121" s="112" t="s">
        <v>11323</v>
      </c>
    </row>
    <row r="3122" spans="1:2" ht="15">
      <c r="A3122" s="113" t="s">
        <v>7428</v>
      </c>
      <c r="B3122" s="112" t="s">
        <v>11323</v>
      </c>
    </row>
    <row r="3123" spans="1:2" ht="15">
      <c r="A3123" s="113" t="s">
        <v>7429</v>
      </c>
      <c r="B3123" s="112" t="s">
        <v>11323</v>
      </c>
    </row>
    <row r="3124" spans="1:2" ht="15">
      <c r="A3124" s="113" t="s">
        <v>7430</v>
      </c>
      <c r="B3124" s="112" t="s">
        <v>11323</v>
      </c>
    </row>
    <row r="3125" spans="1:2" ht="15">
      <c r="A3125" s="113" t="s">
        <v>7431</v>
      </c>
      <c r="B3125" s="112" t="s">
        <v>11323</v>
      </c>
    </row>
    <row r="3126" spans="1:2" ht="15">
      <c r="A3126" s="113" t="s">
        <v>7432</v>
      </c>
      <c r="B3126" s="112" t="s">
        <v>11323</v>
      </c>
    </row>
    <row r="3127" spans="1:2" ht="15">
      <c r="A3127" s="113" t="s">
        <v>7433</v>
      </c>
      <c r="B3127" s="112" t="s">
        <v>11323</v>
      </c>
    </row>
    <row r="3128" spans="1:2" ht="15">
      <c r="A3128" s="113" t="s">
        <v>7434</v>
      </c>
      <c r="B3128" s="112" t="s">
        <v>11323</v>
      </c>
    </row>
    <row r="3129" spans="1:2" ht="15">
      <c r="A3129" s="113" t="s">
        <v>7435</v>
      </c>
      <c r="B3129" s="112" t="s">
        <v>11323</v>
      </c>
    </row>
    <row r="3130" spans="1:2" ht="15">
      <c r="A3130" s="113" t="s">
        <v>7436</v>
      </c>
      <c r="B3130" s="112" t="s">
        <v>11323</v>
      </c>
    </row>
    <row r="3131" spans="1:2" ht="15">
      <c r="A3131" s="113" t="s">
        <v>7437</v>
      </c>
      <c r="B3131" s="112" t="s">
        <v>11323</v>
      </c>
    </row>
    <row r="3132" spans="1:2" ht="15">
      <c r="A3132" s="113" t="s">
        <v>7438</v>
      </c>
      <c r="B3132" s="112" t="s">
        <v>11323</v>
      </c>
    </row>
    <row r="3133" spans="1:2" ht="15">
      <c r="A3133" s="113" t="s">
        <v>7439</v>
      </c>
      <c r="B3133" s="112" t="s">
        <v>11323</v>
      </c>
    </row>
    <row r="3134" spans="1:2" ht="15">
      <c r="A3134" s="113" t="s">
        <v>7440</v>
      </c>
      <c r="B3134" s="112" t="s">
        <v>11323</v>
      </c>
    </row>
    <row r="3135" spans="1:2" ht="15">
      <c r="A3135" s="113" t="s">
        <v>7441</v>
      </c>
      <c r="B3135" s="112" t="s">
        <v>11323</v>
      </c>
    </row>
    <row r="3136" spans="1:2" ht="15">
      <c r="A3136" s="113" t="s">
        <v>7442</v>
      </c>
      <c r="B3136" s="112" t="s">
        <v>11323</v>
      </c>
    </row>
    <row r="3137" spans="1:2" ht="15">
      <c r="A3137" s="113" t="s">
        <v>7443</v>
      </c>
      <c r="B3137" s="112" t="s">
        <v>11323</v>
      </c>
    </row>
    <row r="3138" spans="1:2" ht="15">
      <c r="A3138" s="113" t="s">
        <v>7444</v>
      </c>
      <c r="B3138" s="112" t="s">
        <v>11323</v>
      </c>
    </row>
    <row r="3139" spans="1:2" ht="15">
      <c r="A3139" s="113" t="s">
        <v>7445</v>
      </c>
      <c r="B3139" s="112" t="s">
        <v>11323</v>
      </c>
    </row>
    <row r="3140" spans="1:2" ht="15">
      <c r="A3140" s="113" t="s">
        <v>7446</v>
      </c>
      <c r="B3140" s="112" t="s">
        <v>11323</v>
      </c>
    </row>
    <row r="3141" spans="1:2" ht="15">
      <c r="A3141" s="113" t="s">
        <v>7447</v>
      </c>
      <c r="B3141" s="112" t="s">
        <v>11323</v>
      </c>
    </row>
    <row r="3142" spans="1:2" ht="15">
      <c r="A3142" s="113" t="s">
        <v>7448</v>
      </c>
      <c r="B3142" s="112" t="s">
        <v>11323</v>
      </c>
    </row>
    <row r="3143" spans="1:2" ht="15">
      <c r="A3143" s="113" t="s">
        <v>7449</v>
      </c>
      <c r="B3143" s="112" t="s">
        <v>11323</v>
      </c>
    </row>
    <row r="3144" spans="1:2" ht="15">
      <c r="A3144" s="113" t="s">
        <v>7450</v>
      </c>
      <c r="B3144" s="112" t="s">
        <v>11323</v>
      </c>
    </row>
    <row r="3145" spans="1:2" ht="15">
      <c r="A3145" s="113" t="s">
        <v>7451</v>
      </c>
      <c r="B3145" s="112" t="s">
        <v>11323</v>
      </c>
    </row>
    <row r="3146" spans="1:2" ht="15">
      <c r="A3146" s="113" t="s">
        <v>7452</v>
      </c>
      <c r="B3146" s="112" t="s">
        <v>11323</v>
      </c>
    </row>
    <row r="3147" spans="1:2" ht="15">
      <c r="A3147" s="113" t="s">
        <v>7453</v>
      </c>
      <c r="B3147" s="112" t="s">
        <v>11323</v>
      </c>
    </row>
    <row r="3148" spans="1:2" ht="15">
      <c r="A3148" s="113" t="s">
        <v>7454</v>
      </c>
      <c r="B3148" s="112" t="s">
        <v>11323</v>
      </c>
    </row>
    <row r="3149" spans="1:2" ht="15">
      <c r="A3149" s="113" t="s">
        <v>7455</v>
      </c>
      <c r="B3149" s="112" t="s">
        <v>11323</v>
      </c>
    </row>
    <row r="3150" spans="1:2" ht="15">
      <c r="A3150" s="113" t="s">
        <v>7456</v>
      </c>
      <c r="B3150" s="112" t="s">
        <v>11323</v>
      </c>
    </row>
    <row r="3151" spans="1:2" ht="15">
      <c r="A3151" s="113" t="s">
        <v>7457</v>
      </c>
      <c r="B3151" s="112" t="s">
        <v>11323</v>
      </c>
    </row>
    <row r="3152" spans="1:2" ht="15">
      <c r="A3152" s="113" t="s">
        <v>7458</v>
      </c>
      <c r="B3152" s="112" t="s">
        <v>11323</v>
      </c>
    </row>
    <row r="3153" spans="1:2" ht="15">
      <c r="A3153" s="113" t="s">
        <v>7459</v>
      </c>
      <c r="B3153" s="112" t="s">
        <v>11323</v>
      </c>
    </row>
    <row r="3154" spans="1:2" ht="15">
      <c r="A3154" s="113" t="s">
        <v>7460</v>
      </c>
      <c r="B3154" s="112" t="s">
        <v>11323</v>
      </c>
    </row>
    <row r="3155" spans="1:2" ht="15">
      <c r="A3155" s="113" t="s">
        <v>7461</v>
      </c>
      <c r="B3155" s="112" t="s">
        <v>11323</v>
      </c>
    </row>
    <row r="3156" spans="1:2" ht="15">
      <c r="A3156" s="113" t="s">
        <v>7462</v>
      </c>
      <c r="B3156" s="112" t="s">
        <v>11323</v>
      </c>
    </row>
    <row r="3157" spans="1:2" ht="15">
      <c r="A3157" s="113" t="s">
        <v>7463</v>
      </c>
      <c r="B3157" s="112" t="s">
        <v>11323</v>
      </c>
    </row>
    <row r="3158" spans="1:2" ht="15">
      <c r="A3158" s="113" t="s">
        <v>7464</v>
      </c>
      <c r="B3158" s="112" t="s">
        <v>11323</v>
      </c>
    </row>
    <row r="3159" spans="1:2" ht="15">
      <c r="A3159" s="113" t="s">
        <v>7465</v>
      </c>
      <c r="B3159" s="112" t="s">
        <v>11323</v>
      </c>
    </row>
    <row r="3160" spans="1:2" ht="15">
      <c r="A3160" s="113" t="s">
        <v>7466</v>
      </c>
      <c r="B3160" s="112" t="s">
        <v>11323</v>
      </c>
    </row>
    <row r="3161" spans="1:2" ht="15">
      <c r="A3161" s="113" t="s">
        <v>7467</v>
      </c>
      <c r="B3161" s="112" t="s">
        <v>11323</v>
      </c>
    </row>
    <row r="3162" spans="1:2" ht="15">
      <c r="A3162" s="113" t="s">
        <v>7468</v>
      </c>
      <c r="B3162" s="112" t="s">
        <v>11323</v>
      </c>
    </row>
    <row r="3163" spans="1:2" ht="15">
      <c r="A3163" s="113" t="s">
        <v>7469</v>
      </c>
      <c r="B3163" s="112" t="s">
        <v>11323</v>
      </c>
    </row>
    <row r="3164" spans="1:2" ht="15">
      <c r="A3164" s="113" t="s">
        <v>7470</v>
      </c>
      <c r="B3164" s="112" t="s">
        <v>11323</v>
      </c>
    </row>
    <row r="3165" spans="1:2" ht="15">
      <c r="A3165" s="113" t="s">
        <v>7471</v>
      </c>
      <c r="B3165" s="112" t="s">
        <v>11323</v>
      </c>
    </row>
    <row r="3166" spans="1:2" ht="15">
      <c r="A3166" s="113" t="s">
        <v>7472</v>
      </c>
      <c r="B3166" s="112" t="s">
        <v>11323</v>
      </c>
    </row>
    <row r="3167" spans="1:2" ht="15">
      <c r="A3167" s="113" t="s">
        <v>7473</v>
      </c>
      <c r="B3167" s="112" t="s">
        <v>11323</v>
      </c>
    </row>
    <row r="3168" spans="1:2" ht="15">
      <c r="A3168" s="113" t="s">
        <v>7474</v>
      </c>
      <c r="B3168" s="112" t="s">
        <v>11323</v>
      </c>
    </row>
    <row r="3169" spans="1:2" ht="15">
      <c r="A3169" s="113" t="s">
        <v>7475</v>
      </c>
      <c r="B3169" s="112" t="s">
        <v>11323</v>
      </c>
    </row>
    <row r="3170" spans="1:2" ht="15">
      <c r="A3170" s="113" t="s">
        <v>7476</v>
      </c>
      <c r="B3170" s="112" t="s">
        <v>11323</v>
      </c>
    </row>
    <row r="3171" spans="1:2" ht="15">
      <c r="A3171" s="113" t="s">
        <v>7477</v>
      </c>
      <c r="B3171" s="112" t="s">
        <v>11323</v>
      </c>
    </row>
    <row r="3172" spans="1:2" ht="15">
      <c r="A3172" s="113" t="s">
        <v>7478</v>
      </c>
      <c r="B3172" s="112" t="s">
        <v>11323</v>
      </c>
    </row>
    <row r="3173" spans="1:2" ht="15">
      <c r="A3173" s="113" t="s">
        <v>7479</v>
      </c>
      <c r="B3173" s="112" t="s">
        <v>11323</v>
      </c>
    </row>
    <row r="3174" spans="1:2" ht="15">
      <c r="A3174" s="113" t="s">
        <v>7480</v>
      </c>
      <c r="B3174" s="112" t="s">
        <v>11323</v>
      </c>
    </row>
    <row r="3175" spans="1:2" ht="15">
      <c r="A3175" s="113" t="s">
        <v>7481</v>
      </c>
      <c r="B3175" s="112" t="s">
        <v>11323</v>
      </c>
    </row>
    <row r="3176" spans="1:2" ht="15">
      <c r="A3176" s="113" t="s">
        <v>7482</v>
      </c>
      <c r="B3176" s="112" t="s">
        <v>11323</v>
      </c>
    </row>
    <row r="3177" spans="1:2" ht="15">
      <c r="A3177" s="113" t="s">
        <v>7483</v>
      </c>
      <c r="B3177" s="112" t="s">
        <v>11323</v>
      </c>
    </row>
    <row r="3178" spans="1:2" ht="15">
      <c r="A3178" s="113" t="s">
        <v>7484</v>
      </c>
      <c r="B3178" s="112" t="s">
        <v>11323</v>
      </c>
    </row>
    <row r="3179" spans="1:2" ht="15">
      <c r="A3179" s="113" t="s">
        <v>7485</v>
      </c>
      <c r="B3179" s="112" t="s">
        <v>11323</v>
      </c>
    </row>
    <row r="3180" spans="1:2" ht="15">
      <c r="A3180" s="113" t="s">
        <v>7486</v>
      </c>
      <c r="B3180" s="112" t="s">
        <v>11323</v>
      </c>
    </row>
    <row r="3181" spans="1:2" ht="15">
      <c r="A3181" s="113" t="s">
        <v>7487</v>
      </c>
      <c r="B3181" s="112" t="s">
        <v>11323</v>
      </c>
    </row>
    <row r="3182" spans="1:2" ht="15">
      <c r="A3182" s="113" t="s">
        <v>7488</v>
      </c>
      <c r="B3182" s="112" t="s">
        <v>11323</v>
      </c>
    </row>
    <row r="3183" spans="1:2" ht="15">
      <c r="A3183" s="113" t="s">
        <v>7489</v>
      </c>
      <c r="B3183" s="112" t="s">
        <v>11323</v>
      </c>
    </row>
    <row r="3184" spans="1:2" ht="15">
      <c r="A3184" s="113" t="s">
        <v>7490</v>
      </c>
      <c r="B3184" s="112" t="s">
        <v>11323</v>
      </c>
    </row>
    <row r="3185" spans="1:2" ht="15">
      <c r="A3185" s="113" t="s">
        <v>7491</v>
      </c>
      <c r="B3185" s="112" t="s">
        <v>11323</v>
      </c>
    </row>
    <row r="3186" spans="1:2" ht="15">
      <c r="A3186" s="113" t="s">
        <v>7492</v>
      </c>
      <c r="B3186" s="112" t="s">
        <v>11323</v>
      </c>
    </row>
    <row r="3187" spans="1:2" ht="15">
      <c r="A3187" s="113" t="s">
        <v>7493</v>
      </c>
      <c r="B3187" s="112" t="s">
        <v>11323</v>
      </c>
    </row>
    <row r="3188" spans="1:2" ht="15">
      <c r="A3188" s="113" t="s">
        <v>7494</v>
      </c>
      <c r="B3188" s="112" t="s">
        <v>11323</v>
      </c>
    </row>
    <row r="3189" spans="1:2" ht="15">
      <c r="A3189" s="113" t="s">
        <v>7495</v>
      </c>
      <c r="B3189" s="112" t="s">
        <v>11323</v>
      </c>
    </row>
    <row r="3190" spans="1:2" ht="15">
      <c r="A3190" s="113" t="s">
        <v>7496</v>
      </c>
      <c r="B3190" s="112" t="s">
        <v>11323</v>
      </c>
    </row>
    <row r="3191" spans="1:2" ht="15">
      <c r="A3191" s="113" t="s">
        <v>7497</v>
      </c>
      <c r="B3191" s="112" t="s">
        <v>11323</v>
      </c>
    </row>
    <row r="3192" spans="1:2" ht="15">
      <c r="A3192" s="113" t="s">
        <v>7498</v>
      </c>
      <c r="B3192" s="112" t="s">
        <v>11323</v>
      </c>
    </row>
    <row r="3193" spans="1:2" ht="15">
      <c r="A3193" s="113" t="s">
        <v>7499</v>
      </c>
      <c r="B3193" s="112" t="s">
        <v>11323</v>
      </c>
    </row>
    <row r="3194" spans="1:2" ht="15">
      <c r="A3194" s="113" t="s">
        <v>7500</v>
      </c>
      <c r="B3194" s="112" t="s">
        <v>11323</v>
      </c>
    </row>
    <row r="3195" spans="1:2" ht="15">
      <c r="A3195" s="113" t="s">
        <v>7501</v>
      </c>
      <c r="B3195" s="112" t="s">
        <v>11323</v>
      </c>
    </row>
    <row r="3196" spans="1:2" ht="15">
      <c r="A3196" s="113" t="s">
        <v>7502</v>
      </c>
      <c r="B3196" s="112" t="s">
        <v>11323</v>
      </c>
    </row>
    <row r="3197" spans="1:2" ht="15">
      <c r="A3197" s="113" t="s">
        <v>7503</v>
      </c>
      <c r="B3197" s="112" t="s">
        <v>11323</v>
      </c>
    </row>
    <row r="3198" spans="1:2" ht="15">
      <c r="A3198" s="113" t="s">
        <v>7504</v>
      </c>
      <c r="B3198" s="112" t="s">
        <v>11323</v>
      </c>
    </row>
    <row r="3199" spans="1:2" ht="15">
      <c r="A3199" s="113" t="s">
        <v>7505</v>
      </c>
      <c r="B3199" s="112" t="s">
        <v>11323</v>
      </c>
    </row>
    <row r="3200" spans="1:2" ht="15">
      <c r="A3200" s="113" t="s">
        <v>7506</v>
      </c>
      <c r="B3200" s="112" t="s">
        <v>11323</v>
      </c>
    </row>
    <row r="3201" spans="1:2" ht="15">
      <c r="A3201" s="113" t="s">
        <v>7507</v>
      </c>
      <c r="B3201" s="112" t="s">
        <v>11323</v>
      </c>
    </row>
    <row r="3202" spans="1:2" ht="15">
      <c r="A3202" s="113" t="s">
        <v>7508</v>
      </c>
      <c r="B3202" s="112" t="s">
        <v>11323</v>
      </c>
    </row>
    <row r="3203" spans="1:2" ht="15">
      <c r="A3203" s="113" t="s">
        <v>7509</v>
      </c>
      <c r="B3203" s="112" t="s">
        <v>11323</v>
      </c>
    </row>
    <row r="3204" spans="1:2" ht="15">
      <c r="A3204" s="113" t="s">
        <v>7510</v>
      </c>
      <c r="B3204" s="112" t="s">
        <v>11323</v>
      </c>
    </row>
    <row r="3205" spans="1:2" ht="15">
      <c r="A3205" s="113" t="s">
        <v>7511</v>
      </c>
      <c r="B3205" s="112" t="s">
        <v>11323</v>
      </c>
    </row>
    <row r="3206" spans="1:2" ht="15">
      <c r="A3206" s="113" t="s">
        <v>7512</v>
      </c>
      <c r="B3206" s="112" t="s">
        <v>11323</v>
      </c>
    </row>
    <row r="3207" spans="1:2" ht="15">
      <c r="A3207" s="113" t="s">
        <v>7513</v>
      </c>
      <c r="B3207" s="112" t="s">
        <v>11323</v>
      </c>
    </row>
    <row r="3208" spans="1:2" ht="15">
      <c r="A3208" s="113" t="s">
        <v>7514</v>
      </c>
      <c r="B3208" s="112" t="s">
        <v>11323</v>
      </c>
    </row>
    <row r="3209" spans="1:2" ht="15">
      <c r="A3209" s="113" t="s">
        <v>7515</v>
      </c>
      <c r="B3209" s="112" t="s">
        <v>11323</v>
      </c>
    </row>
    <row r="3210" spans="1:2" ht="15">
      <c r="A3210" s="113" t="s">
        <v>7516</v>
      </c>
      <c r="B3210" s="112" t="s">
        <v>11323</v>
      </c>
    </row>
    <row r="3211" spans="1:2" ht="15">
      <c r="A3211" s="113" t="s">
        <v>7517</v>
      </c>
      <c r="B3211" s="112" t="s">
        <v>11323</v>
      </c>
    </row>
    <row r="3212" spans="1:2" ht="15">
      <c r="A3212" s="113" t="s">
        <v>7518</v>
      </c>
      <c r="B3212" s="112" t="s">
        <v>11323</v>
      </c>
    </row>
    <row r="3213" spans="1:2" ht="15">
      <c r="A3213" s="113" t="s">
        <v>7519</v>
      </c>
      <c r="B3213" s="112" t="s">
        <v>11323</v>
      </c>
    </row>
    <row r="3214" spans="1:2" ht="15">
      <c r="A3214" s="113" t="s">
        <v>7520</v>
      </c>
      <c r="B3214" s="112" t="s">
        <v>11323</v>
      </c>
    </row>
    <row r="3215" spans="1:2" ht="15">
      <c r="A3215" s="113" t="s">
        <v>7521</v>
      </c>
      <c r="B3215" s="112" t="s">
        <v>11323</v>
      </c>
    </row>
    <row r="3216" spans="1:2" ht="15">
      <c r="A3216" s="113" t="s">
        <v>7522</v>
      </c>
      <c r="B3216" s="112" t="s">
        <v>11323</v>
      </c>
    </row>
    <row r="3217" spans="1:2" ht="15">
      <c r="A3217" s="113" t="s">
        <v>7523</v>
      </c>
      <c r="B3217" s="112" t="s">
        <v>11323</v>
      </c>
    </row>
    <row r="3218" spans="1:2" ht="15">
      <c r="A3218" s="113" t="s">
        <v>7524</v>
      </c>
      <c r="B3218" s="112" t="s">
        <v>11323</v>
      </c>
    </row>
    <row r="3219" spans="1:2" ht="15">
      <c r="A3219" s="113" t="s">
        <v>7525</v>
      </c>
      <c r="B3219" s="112" t="s">
        <v>11323</v>
      </c>
    </row>
    <row r="3220" spans="1:2" ht="15">
      <c r="A3220" s="113" t="s">
        <v>7526</v>
      </c>
      <c r="B3220" s="112" t="s">
        <v>11323</v>
      </c>
    </row>
    <row r="3221" spans="1:2" ht="15">
      <c r="A3221" s="113" t="s">
        <v>7527</v>
      </c>
      <c r="B3221" s="112" t="s">
        <v>11323</v>
      </c>
    </row>
    <row r="3222" spans="1:2" ht="15">
      <c r="A3222" s="113" t="s">
        <v>7528</v>
      </c>
      <c r="B3222" s="112" t="s">
        <v>11323</v>
      </c>
    </row>
    <row r="3223" spans="1:2" ht="15">
      <c r="A3223" s="113" t="s">
        <v>7529</v>
      </c>
      <c r="B3223" s="112" t="s">
        <v>11323</v>
      </c>
    </row>
    <row r="3224" spans="1:2" ht="15">
      <c r="A3224" s="113" t="s">
        <v>7530</v>
      </c>
      <c r="B3224" s="112" t="s">
        <v>11323</v>
      </c>
    </row>
    <row r="3225" spans="1:2" ht="15">
      <c r="A3225" s="113" t="s">
        <v>7531</v>
      </c>
      <c r="B3225" s="112" t="s">
        <v>11323</v>
      </c>
    </row>
    <row r="3226" spans="1:2" ht="15">
      <c r="A3226" s="113" t="s">
        <v>7532</v>
      </c>
      <c r="B3226" s="112" t="s">
        <v>11323</v>
      </c>
    </row>
    <row r="3227" spans="1:2" ht="15">
      <c r="A3227" s="113" t="s">
        <v>7533</v>
      </c>
      <c r="B3227" s="112" t="s">
        <v>11323</v>
      </c>
    </row>
    <row r="3228" spans="1:2" ht="15">
      <c r="A3228" s="113" t="s">
        <v>7534</v>
      </c>
      <c r="B3228" s="112" t="s">
        <v>11323</v>
      </c>
    </row>
    <row r="3229" spans="1:2" ht="15">
      <c r="A3229" s="113" t="s">
        <v>7535</v>
      </c>
      <c r="B3229" s="112" t="s">
        <v>11323</v>
      </c>
    </row>
    <row r="3230" spans="1:2" ht="15">
      <c r="A3230" s="113" t="s">
        <v>7536</v>
      </c>
      <c r="B3230" s="112" t="s">
        <v>11323</v>
      </c>
    </row>
    <row r="3231" spans="1:2" ht="15">
      <c r="A3231" s="113" t="s">
        <v>7537</v>
      </c>
      <c r="B3231" s="112" t="s">
        <v>11323</v>
      </c>
    </row>
    <row r="3232" spans="1:2" ht="15">
      <c r="A3232" s="113" t="s">
        <v>7538</v>
      </c>
      <c r="B3232" s="112" t="s">
        <v>11323</v>
      </c>
    </row>
    <row r="3233" spans="1:2" ht="15">
      <c r="A3233" s="113" t="s">
        <v>7539</v>
      </c>
      <c r="B3233" s="112" t="s">
        <v>11323</v>
      </c>
    </row>
    <row r="3234" spans="1:2" ht="15">
      <c r="A3234" s="113" t="s">
        <v>7540</v>
      </c>
      <c r="B3234" s="112" t="s">
        <v>11323</v>
      </c>
    </row>
    <row r="3235" spans="1:2" ht="15">
      <c r="A3235" s="113" t="s">
        <v>7541</v>
      </c>
      <c r="B3235" s="112" t="s">
        <v>11323</v>
      </c>
    </row>
    <row r="3236" spans="1:2" ht="15">
      <c r="A3236" s="113" t="s">
        <v>7542</v>
      </c>
      <c r="B3236" s="112" t="s">
        <v>11323</v>
      </c>
    </row>
    <row r="3237" spans="1:2" ht="15">
      <c r="A3237" s="113" t="s">
        <v>7543</v>
      </c>
      <c r="B3237" s="112" t="s">
        <v>11323</v>
      </c>
    </row>
    <row r="3238" spans="1:2" ht="15">
      <c r="A3238" s="113" t="s">
        <v>7544</v>
      </c>
      <c r="B3238" s="112" t="s">
        <v>11323</v>
      </c>
    </row>
    <row r="3239" spans="1:2" ht="15">
      <c r="A3239" s="113" t="s">
        <v>7545</v>
      </c>
      <c r="B3239" s="112" t="s">
        <v>11323</v>
      </c>
    </row>
    <row r="3240" spans="1:2" ht="15">
      <c r="A3240" s="113" t="s">
        <v>7546</v>
      </c>
      <c r="B3240" s="112" t="s">
        <v>11323</v>
      </c>
    </row>
    <row r="3241" spans="1:2" ht="15">
      <c r="A3241" s="113" t="s">
        <v>7547</v>
      </c>
      <c r="B3241" s="112" t="s">
        <v>11323</v>
      </c>
    </row>
    <row r="3242" spans="1:2" ht="15">
      <c r="A3242" s="113" t="s">
        <v>7548</v>
      </c>
      <c r="B3242" s="112" t="s">
        <v>11323</v>
      </c>
    </row>
    <row r="3243" spans="1:2" ht="15">
      <c r="A3243" s="113" t="s">
        <v>7549</v>
      </c>
      <c r="B3243" s="112" t="s">
        <v>11323</v>
      </c>
    </row>
    <row r="3244" spans="1:2" ht="15">
      <c r="A3244" s="113" t="s">
        <v>7550</v>
      </c>
      <c r="B3244" s="112" t="s">
        <v>11323</v>
      </c>
    </row>
    <row r="3245" spans="1:2" ht="15">
      <c r="A3245" s="113" t="s">
        <v>7551</v>
      </c>
      <c r="B3245" s="112" t="s">
        <v>11323</v>
      </c>
    </row>
    <row r="3246" spans="1:2" ht="15">
      <c r="A3246" s="113" t="s">
        <v>7552</v>
      </c>
      <c r="B3246" s="112" t="s">
        <v>11323</v>
      </c>
    </row>
    <row r="3247" spans="1:2" ht="15">
      <c r="A3247" s="113" t="s">
        <v>7553</v>
      </c>
      <c r="B3247" s="112" t="s">
        <v>11323</v>
      </c>
    </row>
    <row r="3248" spans="1:2" ht="15">
      <c r="A3248" s="113" t="s">
        <v>7554</v>
      </c>
      <c r="B3248" s="112" t="s">
        <v>11323</v>
      </c>
    </row>
    <row r="3249" spans="1:2" ht="15">
      <c r="A3249" s="113" t="s">
        <v>7555</v>
      </c>
      <c r="B3249" s="112" t="s">
        <v>11323</v>
      </c>
    </row>
    <row r="3250" spans="1:2" ht="15">
      <c r="A3250" s="113" t="s">
        <v>7556</v>
      </c>
      <c r="B3250" s="112" t="s">
        <v>11323</v>
      </c>
    </row>
    <row r="3251" spans="1:2" ht="15">
      <c r="A3251" s="113" t="s">
        <v>7557</v>
      </c>
      <c r="B3251" s="112" t="s">
        <v>11323</v>
      </c>
    </row>
    <row r="3252" spans="1:2" ht="15">
      <c r="A3252" s="113" t="s">
        <v>7558</v>
      </c>
      <c r="B3252" s="112" t="s">
        <v>11323</v>
      </c>
    </row>
    <row r="3253" spans="1:2" ht="15">
      <c r="A3253" s="113" t="s">
        <v>7559</v>
      </c>
      <c r="B3253" s="112" t="s">
        <v>11323</v>
      </c>
    </row>
    <row r="3254" spans="1:2" ht="15">
      <c r="A3254" s="113" t="s">
        <v>7560</v>
      </c>
      <c r="B3254" s="112" t="s">
        <v>11323</v>
      </c>
    </row>
    <row r="3255" spans="1:2" ht="15">
      <c r="A3255" s="113" t="s">
        <v>7561</v>
      </c>
      <c r="B3255" s="112" t="s">
        <v>11323</v>
      </c>
    </row>
    <row r="3256" spans="1:2" ht="15">
      <c r="A3256" s="113" t="s">
        <v>7562</v>
      </c>
      <c r="B3256" s="112" t="s">
        <v>11323</v>
      </c>
    </row>
    <row r="3257" spans="1:2" ht="15">
      <c r="A3257" s="113" t="s">
        <v>7563</v>
      </c>
      <c r="B3257" s="112" t="s">
        <v>11323</v>
      </c>
    </row>
    <row r="3258" spans="1:2" ht="15">
      <c r="A3258" s="113" t="s">
        <v>7564</v>
      </c>
      <c r="B3258" s="112" t="s">
        <v>11323</v>
      </c>
    </row>
    <row r="3259" spans="1:2" ht="15">
      <c r="A3259" s="113" t="s">
        <v>7565</v>
      </c>
      <c r="B3259" s="112" t="s">
        <v>11323</v>
      </c>
    </row>
    <row r="3260" spans="1:2" ht="15">
      <c r="A3260" s="113" t="s">
        <v>7566</v>
      </c>
      <c r="B3260" s="112" t="s">
        <v>11323</v>
      </c>
    </row>
    <row r="3261" spans="1:2" ht="15">
      <c r="A3261" s="113" t="s">
        <v>7567</v>
      </c>
      <c r="B3261" s="112" t="s">
        <v>11323</v>
      </c>
    </row>
    <row r="3262" spans="1:2" ht="15">
      <c r="A3262" s="113" t="s">
        <v>7568</v>
      </c>
      <c r="B3262" s="112" t="s">
        <v>11323</v>
      </c>
    </row>
    <row r="3263" spans="1:2" ht="15">
      <c r="A3263" s="113" t="s">
        <v>7569</v>
      </c>
      <c r="B3263" s="112" t="s">
        <v>11323</v>
      </c>
    </row>
    <row r="3264" spans="1:2" ht="15">
      <c r="A3264" s="113" t="s">
        <v>7570</v>
      </c>
      <c r="B3264" s="112" t="s">
        <v>11323</v>
      </c>
    </row>
    <row r="3265" spans="1:2" ht="15">
      <c r="A3265" s="113" t="s">
        <v>7571</v>
      </c>
      <c r="B3265" s="112" t="s">
        <v>11323</v>
      </c>
    </row>
    <row r="3266" spans="1:2" ht="15">
      <c r="A3266" s="113" t="s">
        <v>7572</v>
      </c>
      <c r="B3266" s="112" t="s">
        <v>11323</v>
      </c>
    </row>
    <row r="3267" spans="1:2" ht="15">
      <c r="A3267" s="113" t="s">
        <v>7573</v>
      </c>
      <c r="B3267" s="112" t="s">
        <v>11323</v>
      </c>
    </row>
    <row r="3268" spans="1:2" ht="15">
      <c r="A3268" s="113" t="s">
        <v>7574</v>
      </c>
      <c r="B3268" s="112" t="s">
        <v>11323</v>
      </c>
    </row>
    <row r="3269" spans="1:2" ht="15">
      <c r="A3269" s="113" t="s">
        <v>7575</v>
      </c>
      <c r="B3269" s="112" t="s">
        <v>11323</v>
      </c>
    </row>
    <row r="3270" spans="1:2" ht="15">
      <c r="A3270" s="113" t="s">
        <v>7576</v>
      </c>
      <c r="B3270" s="112" t="s">
        <v>11323</v>
      </c>
    </row>
    <row r="3271" spans="1:2" ht="15">
      <c r="A3271" s="113" t="s">
        <v>7577</v>
      </c>
      <c r="B3271" s="112" t="s">
        <v>11323</v>
      </c>
    </row>
    <row r="3272" spans="1:2" ht="15">
      <c r="A3272" s="113" t="s">
        <v>7578</v>
      </c>
      <c r="B3272" s="112" t="s">
        <v>11323</v>
      </c>
    </row>
    <row r="3273" spans="1:2" ht="15">
      <c r="A3273" s="113" t="s">
        <v>7579</v>
      </c>
      <c r="B3273" s="112" t="s">
        <v>11323</v>
      </c>
    </row>
    <row r="3274" spans="1:2" ht="15">
      <c r="A3274" s="113" t="s">
        <v>7580</v>
      </c>
      <c r="B3274" s="112" t="s">
        <v>11323</v>
      </c>
    </row>
    <row r="3275" spans="1:2" ht="15">
      <c r="A3275" s="113" t="s">
        <v>7581</v>
      </c>
      <c r="B3275" s="112" t="s">
        <v>11323</v>
      </c>
    </row>
    <row r="3276" spans="1:2" ht="15">
      <c r="A3276" s="113" t="s">
        <v>7582</v>
      </c>
      <c r="B3276" s="112" t="s">
        <v>11323</v>
      </c>
    </row>
    <row r="3277" spans="1:2" ht="15">
      <c r="A3277" s="113" t="s">
        <v>7583</v>
      </c>
      <c r="B3277" s="112" t="s">
        <v>11323</v>
      </c>
    </row>
    <row r="3278" spans="1:2" ht="15">
      <c r="A3278" s="113" t="s">
        <v>7584</v>
      </c>
      <c r="B3278" s="112" t="s">
        <v>11323</v>
      </c>
    </row>
    <row r="3279" spans="1:2" ht="15">
      <c r="A3279" s="113" t="s">
        <v>7585</v>
      </c>
      <c r="B3279" s="112" t="s">
        <v>11323</v>
      </c>
    </row>
    <row r="3280" spans="1:2" ht="15">
      <c r="A3280" s="113" t="s">
        <v>7586</v>
      </c>
      <c r="B3280" s="112" t="s">
        <v>11323</v>
      </c>
    </row>
    <row r="3281" spans="1:2" ht="15">
      <c r="A3281" s="113" t="s">
        <v>7587</v>
      </c>
      <c r="B3281" s="112" t="s">
        <v>11323</v>
      </c>
    </row>
    <row r="3282" spans="1:2" ht="15">
      <c r="A3282" s="113" t="s">
        <v>7588</v>
      </c>
      <c r="B3282" s="112" t="s">
        <v>11323</v>
      </c>
    </row>
    <row r="3283" spans="1:2" ht="15">
      <c r="A3283" s="113" t="s">
        <v>7589</v>
      </c>
      <c r="B3283" s="112" t="s">
        <v>11323</v>
      </c>
    </row>
    <row r="3284" spans="1:2" ht="15">
      <c r="A3284" s="113" t="s">
        <v>7590</v>
      </c>
      <c r="B3284" s="112" t="s">
        <v>11323</v>
      </c>
    </row>
    <row r="3285" spans="1:2" ht="15">
      <c r="A3285" s="113" t="s">
        <v>7591</v>
      </c>
      <c r="B3285" s="112" t="s">
        <v>11323</v>
      </c>
    </row>
    <row r="3286" spans="1:2" ht="15">
      <c r="A3286" s="113" t="s">
        <v>7592</v>
      </c>
      <c r="B3286" s="112" t="s">
        <v>11323</v>
      </c>
    </row>
    <row r="3287" spans="1:2" ht="15">
      <c r="A3287" s="113" t="s">
        <v>7593</v>
      </c>
      <c r="B3287" s="112" t="s">
        <v>11323</v>
      </c>
    </row>
    <row r="3288" spans="1:2" ht="15">
      <c r="A3288" s="113" t="s">
        <v>7594</v>
      </c>
      <c r="B3288" s="112" t="s">
        <v>11323</v>
      </c>
    </row>
    <row r="3289" spans="1:2" ht="15">
      <c r="A3289" s="113" t="s">
        <v>7595</v>
      </c>
      <c r="B3289" s="112" t="s">
        <v>11323</v>
      </c>
    </row>
    <row r="3290" spans="1:2" ht="15">
      <c r="A3290" s="113" t="s">
        <v>7596</v>
      </c>
      <c r="B3290" s="112" t="s">
        <v>11323</v>
      </c>
    </row>
    <row r="3291" spans="1:2" ht="15">
      <c r="A3291" s="113" t="s">
        <v>7597</v>
      </c>
      <c r="B3291" s="112" t="s">
        <v>11323</v>
      </c>
    </row>
    <row r="3292" spans="1:2" ht="15">
      <c r="A3292" s="113" t="s">
        <v>7598</v>
      </c>
      <c r="B3292" s="112" t="s">
        <v>11323</v>
      </c>
    </row>
    <row r="3293" spans="1:2" ht="15">
      <c r="A3293" s="113" t="s">
        <v>7599</v>
      </c>
      <c r="B3293" s="112" t="s">
        <v>11323</v>
      </c>
    </row>
    <row r="3294" spans="1:2" ht="15">
      <c r="A3294" s="113" t="s">
        <v>7600</v>
      </c>
      <c r="B3294" s="112" t="s">
        <v>11323</v>
      </c>
    </row>
    <row r="3295" spans="1:2" ht="15">
      <c r="A3295" s="113" t="s">
        <v>7601</v>
      </c>
      <c r="B3295" s="112" t="s">
        <v>11323</v>
      </c>
    </row>
    <row r="3296" spans="1:2" ht="15">
      <c r="A3296" s="113" t="s">
        <v>7602</v>
      </c>
      <c r="B3296" s="112" t="s">
        <v>11323</v>
      </c>
    </row>
    <row r="3297" spans="1:2" ht="15">
      <c r="A3297" s="113" t="s">
        <v>7603</v>
      </c>
      <c r="B3297" s="112" t="s">
        <v>11323</v>
      </c>
    </row>
    <row r="3298" spans="1:2" ht="15">
      <c r="A3298" s="113" t="s">
        <v>7604</v>
      </c>
      <c r="B3298" s="112" t="s">
        <v>11323</v>
      </c>
    </row>
    <row r="3299" spans="1:2" ht="15">
      <c r="A3299" s="113" t="s">
        <v>7605</v>
      </c>
      <c r="B3299" s="112" t="s">
        <v>11323</v>
      </c>
    </row>
    <row r="3300" spans="1:2" ht="15">
      <c r="A3300" s="113" t="s">
        <v>7606</v>
      </c>
      <c r="B3300" s="112" t="s">
        <v>11323</v>
      </c>
    </row>
    <row r="3301" spans="1:2" ht="15">
      <c r="A3301" s="113" t="s">
        <v>7607</v>
      </c>
      <c r="B3301" s="112" t="s">
        <v>11323</v>
      </c>
    </row>
    <row r="3302" spans="1:2" ht="15">
      <c r="A3302" s="113" t="s">
        <v>7608</v>
      </c>
      <c r="B3302" s="112" t="s">
        <v>11323</v>
      </c>
    </row>
    <row r="3303" spans="1:2" ht="15">
      <c r="A3303" s="113" t="s">
        <v>7609</v>
      </c>
      <c r="B3303" s="112" t="s">
        <v>11323</v>
      </c>
    </row>
    <row r="3304" spans="1:2" ht="15">
      <c r="A3304" s="113" t="s">
        <v>7610</v>
      </c>
      <c r="B3304" s="112" t="s">
        <v>11323</v>
      </c>
    </row>
    <row r="3305" spans="1:2" ht="15">
      <c r="A3305" s="113" t="s">
        <v>7611</v>
      </c>
      <c r="B3305" s="112" t="s">
        <v>11323</v>
      </c>
    </row>
    <row r="3306" spans="1:2" ht="15">
      <c r="A3306" s="113" t="s">
        <v>7612</v>
      </c>
      <c r="B3306" s="112" t="s">
        <v>11323</v>
      </c>
    </row>
    <row r="3307" spans="1:2" ht="15">
      <c r="A3307" s="113" t="s">
        <v>7613</v>
      </c>
      <c r="B3307" s="112" t="s">
        <v>11323</v>
      </c>
    </row>
    <row r="3308" spans="1:2" ht="15">
      <c r="A3308" s="113" t="s">
        <v>7614</v>
      </c>
      <c r="B3308" s="112" t="s">
        <v>11323</v>
      </c>
    </row>
    <row r="3309" spans="1:2" ht="15">
      <c r="A3309" s="113" t="s">
        <v>7615</v>
      </c>
      <c r="B3309" s="112" t="s">
        <v>11323</v>
      </c>
    </row>
    <row r="3310" spans="1:2" ht="15">
      <c r="A3310" s="113" t="s">
        <v>7616</v>
      </c>
      <c r="B3310" s="112" t="s">
        <v>11323</v>
      </c>
    </row>
    <row r="3311" spans="1:2" ht="15">
      <c r="A3311" s="113" t="s">
        <v>7617</v>
      </c>
      <c r="B3311" s="112" t="s">
        <v>11323</v>
      </c>
    </row>
    <row r="3312" spans="1:2" ht="15">
      <c r="A3312" s="113" t="s">
        <v>7618</v>
      </c>
      <c r="B3312" s="112" t="s">
        <v>11323</v>
      </c>
    </row>
    <row r="3313" spans="1:2" ht="15">
      <c r="A3313" s="113" t="s">
        <v>7619</v>
      </c>
      <c r="B3313" s="112" t="s">
        <v>11323</v>
      </c>
    </row>
    <row r="3314" spans="1:2" ht="15">
      <c r="A3314" s="113" t="s">
        <v>7620</v>
      </c>
      <c r="B3314" s="112" t="s">
        <v>11323</v>
      </c>
    </row>
    <row r="3315" spans="1:2" ht="15">
      <c r="A3315" s="113" t="s">
        <v>7621</v>
      </c>
      <c r="B3315" s="112" t="s">
        <v>11323</v>
      </c>
    </row>
    <row r="3316" spans="1:2" ht="15">
      <c r="A3316" s="113" t="s">
        <v>7622</v>
      </c>
      <c r="B3316" s="112" t="s">
        <v>11323</v>
      </c>
    </row>
    <row r="3317" spans="1:2" ht="15">
      <c r="A3317" s="113" t="s">
        <v>7623</v>
      </c>
      <c r="B3317" s="112" t="s">
        <v>11323</v>
      </c>
    </row>
    <row r="3318" spans="1:2" ht="15">
      <c r="A3318" s="113" t="s">
        <v>7624</v>
      </c>
      <c r="B3318" s="112" t="s">
        <v>11323</v>
      </c>
    </row>
    <row r="3319" spans="1:2" ht="15">
      <c r="A3319" s="113" t="s">
        <v>7625</v>
      </c>
      <c r="B3319" s="112" t="s">
        <v>11323</v>
      </c>
    </row>
    <row r="3320" spans="1:2" ht="15">
      <c r="A3320" s="113" t="s">
        <v>7626</v>
      </c>
      <c r="B3320" s="112" t="s">
        <v>11323</v>
      </c>
    </row>
    <row r="3321" spans="1:2" ht="15">
      <c r="A3321" s="113" t="s">
        <v>7627</v>
      </c>
      <c r="B3321" s="112" t="s">
        <v>11323</v>
      </c>
    </row>
    <row r="3322" spans="1:2" ht="15">
      <c r="A3322" s="113" t="s">
        <v>7628</v>
      </c>
      <c r="B3322" s="112" t="s">
        <v>11323</v>
      </c>
    </row>
    <row r="3323" spans="1:2" ht="15">
      <c r="A3323" s="113" t="s">
        <v>7629</v>
      </c>
      <c r="B3323" s="112" t="s">
        <v>11323</v>
      </c>
    </row>
    <row r="3324" spans="1:2" ht="15">
      <c r="A3324" s="113" t="s">
        <v>7630</v>
      </c>
      <c r="B3324" s="112" t="s">
        <v>11323</v>
      </c>
    </row>
    <row r="3325" spans="1:2" ht="15">
      <c r="A3325" s="113" t="s">
        <v>7631</v>
      </c>
      <c r="B3325" s="112" t="s">
        <v>11323</v>
      </c>
    </row>
    <row r="3326" spans="1:2" ht="15">
      <c r="A3326" s="113" t="s">
        <v>7632</v>
      </c>
      <c r="B3326" s="112" t="s">
        <v>11323</v>
      </c>
    </row>
    <row r="3327" spans="1:2" ht="15">
      <c r="A3327" s="113" t="s">
        <v>7633</v>
      </c>
      <c r="B3327" s="112" t="s">
        <v>11323</v>
      </c>
    </row>
    <row r="3328" spans="1:2" ht="15">
      <c r="A3328" s="113" t="s">
        <v>7634</v>
      </c>
      <c r="B3328" s="112" t="s">
        <v>11323</v>
      </c>
    </row>
    <row r="3329" spans="1:2" ht="15">
      <c r="A3329" s="113" t="s">
        <v>7635</v>
      </c>
      <c r="B3329" s="112" t="s">
        <v>11323</v>
      </c>
    </row>
    <row r="3330" spans="1:2" ht="15">
      <c r="A3330" s="113" t="s">
        <v>7636</v>
      </c>
      <c r="B3330" s="112" t="s">
        <v>11323</v>
      </c>
    </row>
    <row r="3331" spans="1:2" ht="15">
      <c r="A3331" s="113" t="s">
        <v>7637</v>
      </c>
      <c r="B3331" s="112" t="s">
        <v>11323</v>
      </c>
    </row>
    <row r="3332" spans="1:2" ht="15">
      <c r="A3332" s="113" t="s">
        <v>7638</v>
      </c>
      <c r="B3332" s="112" t="s">
        <v>11323</v>
      </c>
    </row>
    <row r="3333" spans="1:2" ht="15">
      <c r="A3333" s="113" t="s">
        <v>7639</v>
      </c>
      <c r="B3333" s="112" t="s">
        <v>11323</v>
      </c>
    </row>
    <row r="3334" spans="1:2" ht="15">
      <c r="A3334" s="113" t="s">
        <v>7640</v>
      </c>
      <c r="B3334" s="112" t="s">
        <v>11323</v>
      </c>
    </row>
    <row r="3335" spans="1:2" ht="15">
      <c r="A3335" s="113" t="s">
        <v>7641</v>
      </c>
      <c r="B3335" s="112" t="s">
        <v>11323</v>
      </c>
    </row>
    <row r="3336" spans="1:2" ht="15">
      <c r="A3336" s="113" t="s">
        <v>7642</v>
      </c>
      <c r="B3336" s="112" t="s">
        <v>11323</v>
      </c>
    </row>
    <row r="3337" spans="1:2" ht="15">
      <c r="A3337" s="113" t="s">
        <v>7643</v>
      </c>
      <c r="B3337" s="112" t="s">
        <v>11323</v>
      </c>
    </row>
    <row r="3338" spans="1:2" ht="15">
      <c r="A3338" s="113" t="s">
        <v>7644</v>
      </c>
      <c r="B3338" s="112" t="s">
        <v>11323</v>
      </c>
    </row>
    <row r="3339" spans="1:2" ht="15">
      <c r="A3339" s="113" t="s">
        <v>7645</v>
      </c>
      <c r="B3339" s="112" t="s">
        <v>11323</v>
      </c>
    </row>
    <row r="3340" spans="1:2" ht="15">
      <c r="A3340" s="113" t="s">
        <v>7646</v>
      </c>
      <c r="B3340" s="112" t="s">
        <v>11323</v>
      </c>
    </row>
    <row r="3341" spans="1:2" ht="15">
      <c r="A3341" s="113" t="s">
        <v>7647</v>
      </c>
      <c r="B3341" s="112" t="s">
        <v>11323</v>
      </c>
    </row>
    <row r="3342" spans="1:2" ht="15">
      <c r="A3342" s="113" t="s">
        <v>7648</v>
      </c>
      <c r="B3342" s="112" t="s">
        <v>11323</v>
      </c>
    </row>
    <row r="3343" spans="1:2" ht="15">
      <c r="A3343" s="113" t="s">
        <v>7649</v>
      </c>
      <c r="B3343" s="112" t="s">
        <v>11323</v>
      </c>
    </row>
    <row r="3344" spans="1:2" ht="15">
      <c r="A3344" s="113" t="s">
        <v>7650</v>
      </c>
      <c r="B3344" s="112" t="s">
        <v>11323</v>
      </c>
    </row>
    <row r="3345" spans="1:2" ht="15">
      <c r="A3345" s="113" t="s">
        <v>7651</v>
      </c>
      <c r="B3345" s="112" t="s">
        <v>11323</v>
      </c>
    </row>
    <row r="3346" spans="1:2" ht="15">
      <c r="A3346" s="113" t="s">
        <v>7652</v>
      </c>
      <c r="B3346" s="112" t="s">
        <v>11323</v>
      </c>
    </row>
    <row r="3347" spans="1:2" ht="15">
      <c r="A3347" s="113" t="s">
        <v>7653</v>
      </c>
      <c r="B3347" s="112" t="s">
        <v>11323</v>
      </c>
    </row>
    <row r="3348" spans="1:2" ht="15">
      <c r="A3348" s="113" t="s">
        <v>7654</v>
      </c>
      <c r="B3348" s="112" t="s">
        <v>11323</v>
      </c>
    </row>
    <row r="3349" spans="1:2" ht="15">
      <c r="A3349" s="113" t="s">
        <v>7655</v>
      </c>
      <c r="B3349" s="112" t="s">
        <v>11323</v>
      </c>
    </row>
    <row r="3350" spans="1:2" ht="15">
      <c r="A3350" s="113" t="s">
        <v>7656</v>
      </c>
      <c r="B3350" s="112" t="s">
        <v>11323</v>
      </c>
    </row>
    <row r="3351" spans="1:2" ht="15">
      <c r="A3351" s="113" t="s">
        <v>7657</v>
      </c>
      <c r="B3351" s="112" t="s">
        <v>11323</v>
      </c>
    </row>
    <row r="3352" spans="1:2" ht="15">
      <c r="A3352" s="113" t="s">
        <v>7658</v>
      </c>
      <c r="B3352" s="112" t="s">
        <v>11323</v>
      </c>
    </row>
    <row r="3353" spans="1:2" ht="15">
      <c r="A3353" s="113" t="s">
        <v>7659</v>
      </c>
      <c r="B3353" s="112" t="s">
        <v>11323</v>
      </c>
    </row>
    <row r="3354" spans="1:2" ht="15">
      <c r="A3354" s="113" t="s">
        <v>7660</v>
      </c>
      <c r="B3354" s="112" t="s">
        <v>11323</v>
      </c>
    </row>
    <row r="3355" spans="1:2" ht="15">
      <c r="A3355" s="113" t="s">
        <v>7661</v>
      </c>
      <c r="B3355" s="112" t="s">
        <v>11323</v>
      </c>
    </row>
    <row r="3356" spans="1:2" ht="15">
      <c r="A3356" s="113" t="s">
        <v>7662</v>
      </c>
      <c r="B3356" s="112" t="s">
        <v>11323</v>
      </c>
    </row>
    <row r="3357" spans="1:2" ht="15">
      <c r="A3357" s="113" t="s">
        <v>7663</v>
      </c>
      <c r="B3357" s="112" t="s">
        <v>11323</v>
      </c>
    </row>
    <row r="3358" spans="1:2" ht="15">
      <c r="A3358" s="113" t="s">
        <v>7664</v>
      </c>
      <c r="B3358" s="112" t="s">
        <v>11323</v>
      </c>
    </row>
    <row r="3359" spans="1:2" ht="15">
      <c r="A3359" s="113" t="s">
        <v>7665</v>
      </c>
      <c r="B3359" s="112" t="s">
        <v>11323</v>
      </c>
    </row>
    <row r="3360" spans="1:2" ht="15">
      <c r="A3360" s="113" t="s">
        <v>7666</v>
      </c>
      <c r="B3360" s="112" t="s">
        <v>11323</v>
      </c>
    </row>
    <row r="3361" spans="1:2" ht="15">
      <c r="A3361" s="113" t="s">
        <v>7667</v>
      </c>
      <c r="B3361" s="112" t="s">
        <v>11323</v>
      </c>
    </row>
    <row r="3362" spans="1:2" ht="15">
      <c r="A3362" s="113" t="s">
        <v>7668</v>
      </c>
      <c r="B3362" s="112" t="s">
        <v>11323</v>
      </c>
    </row>
    <row r="3363" spans="1:2" ht="15">
      <c r="A3363" s="113" t="s">
        <v>7669</v>
      </c>
      <c r="B3363" s="112" t="s">
        <v>11323</v>
      </c>
    </row>
    <row r="3364" spans="1:2" ht="15">
      <c r="A3364" s="113" t="s">
        <v>7670</v>
      </c>
      <c r="B3364" s="112" t="s">
        <v>11323</v>
      </c>
    </row>
    <row r="3365" spans="1:2" ht="15">
      <c r="A3365" s="113" t="s">
        <v>7671</v>
      </c>
      <c r="B3365" s="112" t="s">
        <v>11323</v>
      </c>
    </row>
    <row r="3366" spans="1:2" ht="15">
      <c r="A3366" s="113" t="s">
        <v>7672</v>
      </c>
      <c r="B3366" s="112" t="s">
        <v>11323</v>
      </c>
    </row>
    <row r="3367" spans="1:2" ht="15">
      <c r="A3367" s="113" t="s">
        <v>7673</v>
      </c>
      <c r="B3367" s="112" t="s">
        <v>11323</v>
      </c>
    </row>
    <row r="3368" spans="1:2" ht="15">
      <c r="A3368" s="113" t="s">
        <v>7674</v>
      </c>
      <c r="B3368" s="112" t="s">
        <v>11323</v>
      </c>
    </row>
    <row r="3369" spans="1:2" ht="15">
      <c r="A3369" s="113" t="s">
        <v>7675</v>
      </c>
      <c r="B3369" s="112" t="s">
        <v>11323</v>
      </c>
    </row>
    <row r="3370" spans="1:2" ht="15">
      <c r="A3370" s="113" t="s">
        <v>7676</v>
      </c>
      <c r="B3370" s="112" t="s">
        <v>11323</v>
      </c>
    </row>
    <row r="3371" spans="1:2" ht="15">
      <c r="A3371" s="113" t="s">
        <v>7677</v>
      </c>
      <c r="B3371" s="112" t="s">
        <v>11323</v>
      </c>
    </row>
    <row r="3372" spans="1:2" ht="15">
      <c r="A3372" s="113" t="s">
        <v>7678</v>
      </c>
      <c r="B3372" s="112" t="s">
        <v>11323</v>
      </c>
    </row>
    <row r="3373" spans="1:2" ht="15">
      <c r="A3373" s="113" t="s">
        <v>7679</v>
      </c>
      <c r="B3373" s="112" t="s">
        <v>11323</v>
      </c>
    </row>
    <row r="3374" spans="1:2" ht="15">
      <c r="A3374" s="113" t="s">
        <v>7680</v>
      </c>
      <c r="B3374" s="112" t="s">
        <v>11323</v>
      </c>
    </row>
    <row r="3375" spans="1:2" ht="15">
      <c r="A3375" s="113" t="s">
        <v>7681</v>
      </c>
      <c r="B3375" s="112" t="s">
        <v>11323</v>
      </c>
    </row>
    <row r="3376" spans="1:2" ht="15">
      <c r="A3376" s="113" t="s">
        <v>7682</v>
      </c>
      <c r="B3376" s="112" t="s">
        <v>11323</v>
      </c>
    </row>
    <row r="3377" spans="1:2" ht="15">
      <c r="A3377" s="113" t="s">
        <v>7683</v>
      </c>
      <c r="B3377" s="112" t="s">
        <v>11323</v>
      </c>
    </row>
    <row r="3378" spans="1:2" ht="15">
      <c r="A3378" s="113" t="s">
        <v>7684</v>
      </c>
      <c r="B3378" s="112" t="s">
        <v>11323</v>
      </c>
    </row>
    <row r="3379" spans="1:2" ht="15">
      <c r="A3379" s="113" t="s">
        <v>7685</v>
      </c>
      <c r="B3379" s="112" t="s">
        <v>11323</v>
      </c>
    </row>
    <row r="3380" spans="1:2" ht="15">
      <c r="A3380" s="113" t="s">
        <v>7686</v>
      </c>
      <c r="B3380" s="112" t="s">
        <v>11323</v>
      </c>
    </row>
    <row r="3381" spans="1:2" ht="15">
      <c r="A3381" s="113" t="s">
        <v>7687</v>
      </c>
      <c r="B3381" s="112" t="s">
        <v>11323</v>
      </c>
    </row>
    <row r="3382" spans="1:2" ht="15">
      <c r="A3382" s="113" t="s">
        <v>7688</v>
      </c>
      <c r="B3382" s="112" t="s">
        <v>11323</v>
      </c>
    </row>
    <row r="3383" spans="1:2" ht="15">
      <c r="A3383" s="113" t="s">
        <v>7689</v>
      </c>
      <c r="B3383" s="112" t="s">
        <v>11323</v>
      </c>
    </row>
    <row r="3384" spans="1:2" ht="15">
      <c r="A3384" s="113" t="s">
        <v>7690</v>
      </c>
      <c r="B3384" s="112" t="s">
        <v>11323</v>
      </c>
    </row>
    <row r="3385" spans="1:2" ht="15">
      <c r="A3385" s="113" t="s">
        <v>7691</v>
      </c>
      <c r="B3385" s="112" t="s">
        <v>11323</v>
      </c>
    </row>
    <row r="3386" spans="1:2" ht="15">
      <c r="A3386" s="113" t="s">
        <v>7692</v>
      </c>
      <c r="B3386" s="112" t="s">
        <v>11323</v>
      </c>
    </row>
    <row r="3387" spans="1:2" ht="15">
      <c r="A3387" s="113" t="s">
        <v>7693</v>
      </c>
      <c r="B3387" s="112" t="s">
        <v>11323</v>
      </c>
    </row>
    <row r="3388" spans="1:2" ht="15">
      <c r="A3388" s="113" t="s">
        <v>7694</v>
      </c>
      <c r="B3388" s="112" t="s">
        <v>11323</v>
      </c>
    </row>
    <row r="3389" spans="1:2" ht="15">
      <c r="A3389" s="113" t="s">
        <v>7695</v>
      </c>
      <c r="B3389" s="112" t="s">
        <v>11323</v>
      </c>
    </row>
    <row r="3390" spans="1:2" ht="15">
      <c r="A3390" s="113" t="s">
        <v>7696</v>
      </c>
      <c r="B3390" s="112" t="s">
        <v>11323</v>
      </c>
    </row>
    <row r="3391" spans="1:2" ht="15">
      <c r="A3391" s="113" t="s">
        <v>7697</v>
      </c>
      <c r="B3391" s="112" t="s">
        <v>11323</v>
      </c>
    </row>
    <row r="3392" spans="1:2" ht="15">
      <c r="A3392" s="113" t="s">
        <v>7698</v>
      </c>
      <c r="B3392" s="112" t="s">
        <v>11323</v>
      </c>
    </row>
    <row r="3393" spans="1:2" ht="15">
      <c r="A3393" s="113" t="s">
        <v>7699</v>
      </c>
      <c r="B3393" s="112" t="s">
        <v>11323</v>
      </c>
    </row>
    <row r="3394" spans="1:2" ht="15">
      <c r="A3394" s="113" t="s">
        <v>7700</v>
      </c>
      <c r="B3394" s="112" t="s">
        <v>11323</v>
      </c>
    </row>
    <row r="3395" spans="1:2" ht="15">
      <c r="A3395" s="113" t="s">
        <v>7701</v>
      </c>
      <c r="B3395" s="112" t="s">
        <v>11323</v>
      </c>
    </row>
    <row r="3396" spans="1:2" ht="15">
      <c r="A3396" s="113" t="s">
        <v>7702</v>
      </c>
      <c r="B3396" s="112" t="s">
        <v>11323</v>
      </c>
    </row>
    <row r="3397" spans="1:2" ht="15">
      <c r="A3397" s="113" t="s">
        <v>7703</v>
      </c>
      <c r="B3397" s="112" t="s">
        <v>11323</v>
      </c>
    </row>
    <row r="3398" spans="1:2" ht="15">
      <c r="A3398" s="113" t="s">
        <v>7704</v>
      </c>
      <c r="B3398" s="112" t="s">
        <v>11323</v>
      </c>
    </row>
    <row r="3399" spans="1:2" ht="15">
      <c r="A3399" s="113" t="s">
        <v>7705</v>
      </c>
      <c r="B3399" s="112" t="s">
        <v>11323</v>
      </c>
    </row>
    <row r="3400" spans="1:2" ht="15">
      <c r="A3400" s="113" t="s">
        <v>7706</v>
      </c>
      <c r="B3400" s="112" t="s">
        <v>11323</v>
      </c>
    </row>
    <row r="3401" spans="1:2" ht="15">
      <c r="A3401" s="113" t="s">
        <v>7707</v>
      </c>
      <c r="B3401" s="112" t="s">
        <v>11323</v>
      </c>
    </row>
    <row r="3402" spans="1:2" ht="15">
      <c r="A3402" s="113" t="s">
        <v>7708</v>
      </c>
      <c r="B3402" s="112" t="s">
        <v>11323</v>
      </c>
    </row>
    <row r="3403" spans="1:2" ht="15">
      <c r="A3403" s="113" t="s">
        <v>7709</v>
      </c>
      <c r="B3403" s="112" t="s">
        <v>11323</v>
      </c>
    </row>
    <row r="3404" spans="1:2" ht="15">
      <c r="A3404" s="113" t="s">
        <v>7710</v>
      </c>
      <c r="B3404" s="112" t="s">
        <v>11323</v>
      </c>
    </row>
    <row r="3405" spans="1:2" ht="15">
      <c r="A3405" s="113" t="s">
        <v>7711</v>
      </c>
      <c r="B3405" s="112" t="s">
        <v>11323</v>
      </c>
    </row>
    <row r="3406" spans="1:2" ht="15">
      <c r="A3406" s="113" t="s">
        <v>7712</v>
      </c>
      <c r="B3406" s="112" t="s">
        <v>11323</v>
      </c>
    </row>
    <row r="3407" spans="1:2" ht="15">
      <c r="A3407" s="113" t="s">
        <v>7713</v>
      </c>
      <c r="B3407" s="112" t="s">
        <v>11323</v>
      </c>
    </row>
    <row r="3408" spans="1:2" ht="15">
      <c r="A3408" s="113" t="s">
        <v>7714</v>
      </c>
      <c r="B3408" s="112" t="s">
        <v>11323</v>
      </c>
    </row>
    <row r="3409" spans="1:2" ht="15">
      <c r="A3409" s="113" t="s">
        <v>7715</v>
      </c>
      <c r="B3409" s="112" t="s">
        <v>11323</v>
      </c>
    </row>
    <row r="3410" spans="1:2" ht="15">
      <c r="A3410" s="113" t="s">
        <v>7716</v>
      </c>
      <c r="B3410" s="112" t="s">
        <v>11323</v>
      </c>
    </row>
    <row r="3411" spans="1:2" ht="15">
      <c r="A3411" s="113" t="s">
        <v>7717</v>
      </c>
      <c r="B3411" s="112" t="s">
        <v>11323</v>
      </c>
    </row>
    <row r="3412" spans="1:2" ht="15">
      <c r="A3412" s="113" t="s">
        <v>7718</v>
      </c>
      <c r="B3412" s="112" t="s">
        <v>11323</v>
      </c>
    </row>
    <row r="3413" spans="1:2" ht="15">
      <c r="A3413" s="113" t="s">
        <v>7719</v>
      </c>
      <c r="B3413" s="112" t="s">
        <v>11323</v>
      </c>
    </row>
    <row r="3414" spans="1:2" ht="15">
      <c r="A3414" s="113" t="s">
        <v>7720</v>
      </c>
      <c r="B3414" s="112" t="s">
        <v>11323</v>
      </c>
    </row>
    <row r="3415" spans="1:2" ht="15">
      <c r="A3415" s="113" t="s">
        <v>7721</v>
      </c>
      <c r="B3415" s="112" t="s">
        <v>11323</v>
      </c>
    </row>
    <row r="3416" spans="1:2" ht="15">
      <c r="A3416" s="113" t="s">
        <v>7722</v>
      </c>
      <c r="B3416" s="112" t="s">
        <v>11323</v>
      </c>
    </row>
    <row r="3417" spans="1:2" ht="15">
      <c r="A3417" s="113" t="s">
        <v>7723</v>
      </c>
      <c r="B3417" s="112" t="s">
        <v>11323</v>
      </c>
    </row>
    <row r="3418" spans="1:2" ht="15">
      <c r="A3418" s="113" t="s">
        <v>7724</v>
      </c>
      <c r="B3418" s="112" t="s">
        <v>11323</v>
      </c>
    </row>
    <row r="3419" spans="1:2" ht="15">
      <c r="A3419" s="113" t="s">
        <v>7725</v>
      </c>
      <c r="B3419" s="112" t="s">
        <v>11323</v>
      </c>
    </row>
    <row r="3420" spans="1:2" ht="15">
      <c r="A3420" s="113" t="s">
        <v>7726</v>
      </c>
      <c r="B3420" s="112" t="s">
        <v>11323</v>
      </c>
    </row>
    <row r="3421" spans="1:2" ht="15">
      <c r="A3421" s="113" t="s">
        <v>7727</v>
      </c>
      <c r="B3421" s="112" t="s">
        <v>11323</v>
      </c>
    </row>
    <row r="3422" spans="1:2" ht="15">
      <c r="A3422" s="113" t="s">
        <v>7728</v>
      </c>
      <c r="B3422" s="112" t="s">
        <v>11323</v>
      </c>
    </row>
    <row r="3423" spans="1:2" ht="15">
      <c r="A3423" s="113" t="s">
        <v>7729</v>
      </c>
      <c r="B3423" s="112" t="s">
        <v>11323</v>
      </c>
    </row>
    <row r="3424" spans="1:2" ht="15">
      <c r="A3424" s="113" t="s">
        <v>7730</v>
      </c>
      <c r="B3424" s="112" t="s">
        <v>11323</v>
      </c>
    </row>
    <row r="3425" spans="1:2" ht="15">
      <c r="A3425" s="113" t="s">
        <v>7731</v>
      </c>
      <c r="B3425" s="112" t="s">
        <v>11323</v>
      </c>
    </row>
    <row r="3426" spans="1:2" ht="15">
      <c r="A3426" s="113" t="s">
        <v>7732</v>
      </c>
      <c r="B3426" s="112" t="s">
        <v>11323</v>
      </c>
    </row>
    <row r="3427" spans="1:2" ht="15">
      <c r="A3427" s="113" t="s">
        <v>7733</v>
      </c>
      <c r="B3427" s="112" t="s">
        <v>11323</v>
      </c>
    </row>
    <row r="3428" spans="1:2" ht="15">
      <c r="A3428" s="113" t="s">
        <v>7734</v>
      </c>
      <c r="B3428" s="112" t="s">
        <v>11323</v>
      </c>
    </row>
    <row r="3429" spans="1:2" ht="15">
      <c r="A3429" s="113" t="s">
        <v>7735</v>
      </c>
      <c r="B3429" s="112" t="s">
        <v>11323</v>
      </c>
    </row>
    <row r="3430" spans="1:2" ht="15">
      <c r="A3430" s="113" t="s">
        <v>7736</v>
      </c>
      <c r="B3430" s="112" t="s">
        <v>11323</v>
      </c>
    </row>
    <row r="3431" spans="1:2" ht="15">
      <c r="A3431" s="113" t="s">
        <v>7737</v>
      </c>
      <c r="B3431" s="112" t="s">
        <v>11323</v>
      </c>
    </row>
    <row r="3432" spans="1:2" ht="15">
      <c r="A3432" s="113" t="s">
        <v>7738</v>
      </c>
      <c r="B3432" s="112" t="s">
        <v>11323</v>
      </c>
    </row>
    <row r="3433" spans="1:2" ht="15">
      <c r="A3433" s="113" t="s">
        <v>7739</v>
      </c>
      <c r="B3433" s="112" t="s">
        <v>11323</v>
      </c>
    </row>
    <row r="3434" spans="1:2" ht="15">
      <c r="A3434" s="113" t="s">
        <v>7740</v>
      </c>
      <c r="B3434" s="112" t="s">
        <v>11323</v>
      </c>
    </row>
    <row r="3435" spans="1:2" ht="15">
      <c r="A3435" s="113" t="s">
        <v>7741</v>
      </c>
      <c r="B3435" s="112" t="s">
        <v>11323</v>
      </c>
    </row>
    <row r="3436" spans="1:2" ht="15">
      <c r="A3436" s="113" t="s">
        <v>7742</v>
      </c>
      <c r="B3436" s="112" t="s">
        <v>11323</v>
      </c>
    </row>
    <row r="3437" spans="1:2" ht="15">
      <c r="A3437" s="113" t="s">
        <v>7743</v>
      </c>
      <c r="B3437" s="112" t="s">
        <v>11323</v>
      </c>
    </row>
    <row r="3438" spans="1:2" ht="15">
      <c r="A3438" s="113" t="s">
        <v>7744</v>
      </c>
      <c r="B3438" s="112" t="s">
        <v>11323</v>
      </c>
    </row>
    <row r="3439" spans="1:2" ht="15">
      <c r="A3439" s="113" t="s">
        <v>7745</v>
      </c>
      <c r="B3439" s="112" t="s">
        <v>11323</v>
      </c>
    </row>
    <row r="3440" spans="1:2" ht="15">
      <c r="A3440" s="113" t="s">
        <v>7746</v>
      </c>
      <c r="B3440" s="112" t="s">
        <v>11323</v>
      </c>
    </row>
    <row r="3441" spans="1:2" ht="15">
      <c r="A3441" s="113" t="s">
        <v>7747</v>
      </c>
      <c r="B3441" s="112" t="s">
        <v>11323</v>
      </c>
    </row>
    <row r="3442" spans="1:2" ht="15">
      <c r="A3442" s="113" t="s">
        <v>7748</v>
      </c>
      <c r="B3442" s="112" t="s">
        <v>11323</v>
      </c>
    </row>
    <row r="3443" spans="1:2" ht="15">
      <c r="A3443" s="113" t="s">
        <v>7749</v>
      </c>
      <c r="B3443" s="112" t="s">
        <v>11323</v>
      </c>
    </row>
    <row r="3444" spans="1:2" ht="15">
      <c r="A3444" s="113" t="s">
        <v>7750</v>
      </c>
      <c r="B3444" s="112" t="s">
        <v>11323</v>
      </c>
    </row>
    <row r="3445" spans="1:2" ht="15">
      <c r="A3445" s="113" t="s">
        <v>7751</v>
      </c>
      <c r="B3445" s="112" t="s">
        <v>11323</v>
      </c>
    </row>
    <row r="3446" spans="1:2" ht="15">
      <c r="A3446" s="113" t="s">
        <v>7752</v>
      </c>
      <c r="B3446" s="112" t="s">
        <v>11323</v>
      </c>
    </row>
    <row r="3447" spans="1:2" ht="15">
      <c r="A3447" s="113" t="s">
        <v>7753</v>
      </c>
      <c r="B3447" s="112" t="s">
        <v>11323</v>
      </c>
    </row>
    <row r="3448" spans="1:2" ht="15">
      <c r="A3448" s="113" t="s">
        <v>7754</v>
      </c>
      <c r="B3448" s="112" t="s">
        <v>11323</v>
      </c>
    </row>
    <row r="3449" spans="1:2" ht="15">
      <c r="A3449" s="113" t="s">
        <v>7755</v>
      </c>
      <c r="B3449" s="112" t="s">
        <v>11323</v>
      </c>
    </row>
    <row r="3450" spans="1:2" ht="15">
      <c r="A3450" s="113" t="s">
        <v>7756</v>
      </c>
      <c r="B3450" s="112" t="s">
        <v>11323</v>
      </c>
    </row>
    <row r="3451" spans="1:2" ht="15">
      <c r="A3451" s="113" t="s">
        <v>7757</v>
      </c>
      <c r="B3451" s="112" t="s">
        <v>11323</v>
      </c>
    </row>
    <row r="3452" spans="1:2" ht="15">
      <c r="A3452" s="113" t="s">
        <v>7758</v>
      </c>
      <c r="B3452" s="112" t="s">
        <v>11323</v>
      </c>
    </row>
    <row r="3453" spans="1:2" ht="15">
      <c r="A3453" s="113" t="s">
        <v>7759</v>
      </c>
      <c r="B3453" s="112" t="s">
        <v>11323</v>
      </c>
    </row>
    <row r="3454" spans="1:2" ht="15">
      <c r="A3454" s="113" t="s">
        <v>7760</v>
      </c>
      <c r="B3454" s="112" t="s">
        <v>11323</v>
      </c>
    </row>
    <row r="3455" spans="1:2" ht="15">
      <c r="A3455" s="113" t="s">
        <v>7761</v>
      </c>
      <c r="B3455" s="112" t="s">
        <v>11323</v>
      </c>
    </row>
    <row r="3456" spans="1:2" ht="15">
      <c r="A3456" s="113" t="s">
        <v>7762</v>
      </c>
      <c r="B3456" s="112" t="s">
        <v>11323</v>
      </c>
    </row>
    <row r="3457" spans="1:2" ht="15">
      <c r="A3457" s="113" t="s">
        <v>7763</v>
      </c>
      <c r="B3457" s="112" t="s">
        <v>11323</v>
      </c>
    </row>
    <row r="3458" spans="1:2" ht="15">
      <c r="A3458" s="113" t="s">
        <v>7764</v>
      </c>
      <c r="B3458" s="112" t="s">
        <v>11323</v>
      </c>
    </row>
    <row r="3459" spans="1:2" ht="15">
      <c r="A3459" s="113" t="s">
        <v>7765</v>
      </c>
      <c r="B3459" s="112" t="s">
        <v>11323</v>
      </c>
    </row>
    <row r="3460" spans="1:2" ht="15">
      <c r="A3460" s="113" t="s">
        <v>7766</v>
      </c>
      <c r="B3460" s="112" t="s">
        <v>11323</v>
      </c>
    </row>
    <row r="3461" spans="1:2" ht="15">
      <c r="A3461" s="113" t="s">
        <v>7767</v>
      </c>
      <c r="B3461" s="112" t="s">
        <v>11323</v>
      </c>
    </row>
    <row r="3462" spans="1:2" ht="15">
      <c r="A3462" s="113" t="s">
        <v>7768</v>
      </c>
      <c r="B3462" s="112" t="s">
        <v>11323</v>
      </c>
    </row>
    <row r="3463" spans="1:2" ht="15">
      <c r="A3463" s="113" t="s">
        <v>7769</v>
      </c>
      <c r="B3463" s="112" t="s">
        <v>11323</v>
      </c>
    </row>
    <row r="3464" spans="1:2" ht="15">
      <c r="A3464" s="113" t="s">
        <v>7770</v>
      </c>
      <c r="B3464" s="112" t="s">
        <v>11323</v>
      </c>
    </row>
    <row r="3465" spans="1:2" ht="15">
      <c r="A3465" s="113" t="s">
        <v>7771</v>
      </c>
      <c r="B3465" s="112" t="s">
        <v>11323</v>
      </c>
    </row>
    <row r="3466" spans="1:2" ht="15">
      <c r="A3466" s="113" t="s">
        <v>7772</v>
      </c>
      <c r="B3466" s="112" t="s">
        <v>11323</v>
      </c>
    </row>
    <row r="3467" spans="1:2" ht="15">
      <c r="A3467" s="113" t="s">
        <v>7773</v>
      </c>
      <c r="B3467" s="112" t="s">
        <v>11323</v>
      </c>
    </row>
    <row r="3468" spans="1:2" ht="15">
      <c r="A3468" s="113" t="s">
        <v>7774</v>
      </c>
      <c r="B3468" s="112" t="s">
        <v>11323</v>
      </c>
    </row>
    <row r="3469" spans="1:2" ht="15">
      <c r="A3469" s="113" t="s">
        <v>7775</v>
      </c>
      <c r="B3469" s="112" t="s">
        <v>11323</v>
      </c>
    </row>
    <row r="3470" spans="1:2" ht="15">
      <c r="A3470" s="113" t="s">
        <v>7776</v>
      </c>
      <c r="B3470" s="112" t="s">
        <v>11323</v>
      </c>
    </row>
    <row r="3471" spans="1:2" ht="15">
      <c r="A3471" s="113" t="s">
        <v>7777</v>
      </c>
      <c r="B3471" s="112" t="s">
        <v>11323</v>
      </c>
    </row>
    <row r="3472" spans="1:2" ht="15">
      <c r="A3472" s="113" t="s">
        <v>7778</v>
      </c>
      <c r="B3472" s="112" t="s">
        <v>11323</v>
      </c>
    </row>
    <row r="3473" spans="1:2" ht="15">
      <c r="A3473" s="113" t="s">
        <v>7779</v>
      </c>
      <c r="B3473" s="112" t="s">
        <v>11323</v>
      </c>
    </row>
    <row r="3474" spans="1:2" ht="15">
      <c r="A3474" s="113" t="s">
        <v>7780</v>
      </c>
      <c r="B3474" s="112" t="s">
        <v>11323</v>
      </c>
    </row>
    <row r="3475" spans="1:2" ht="15">
      <c r="A3475" s="113" t="s">
        <v>7781</v>
      </c>
      <c r="B3475" s="112" t="s">
        <v>11323</v>
      </c>
    </row>
    <row r="3476" spans="1:2" ht="15">
      <c r="A3476" s="113" t="s">
        <v>7782</v>
      </c>
      <c r="B3476" s="112" t="s">
        <v>11323</v>
      </c>
    </row>
    <row r="3477" spans="1:2" ht="15">
      <c r="A3477" s="113" t="s">
        <v>7783</v>
      </c>
      <c r="B3477" s="112" t="s">
        <v>11323</v>
      </c>
    </row>
    <row r="3478" spans="1:2" ht="15">
      <c r="A3478" s="113" t="s">
        <v>7784</v>
      </c>
      <c r="B3478" s="112" t="s">
        <v>11323</v>
      </c>
    </row>
    <row r="3479" spans="1:2" ht="15">
      <c r="A3479" s="113" t="s">
        <v>7785</v>
      </c>
      <c r="B3479" s="112" t="s">
        <v>11323</v>
      </c>
    </row>
    <row r="3480" spans="1:2" ht="15">
      <c r="A3480" s="113" t="s">
        <v>7786</v>
      </c>
      <c r="B3480" s="112" t="s">
        <v>11323</v>
      </c>
    </row>
    <row r="3481" spans="1:2" ht="15">
      <c r="A3481" s="113" t="s">
        <v>7787</v>
      </c>
      <c r="B3481" s="112" t="s">
        <v>11323</v>
      </c>
    </row>
    <row r="3482" spans="1:2" ht="15">
      <c r="A3482" s="113" t="s">
        <v>7788</v>
      </c>
      <c r="B3482" s="112" t="s">
        <v>11323</v>
      </c>
    </row>
    <row r="3483" spans="1:2" ht="15">
      <c r="A3483" s="113" t="s">
        <v>7789</v>
      </c>
      <c r="B3483" s="112" t="s">
        <v>11323</v>
      </c>
    </row>
    <row r="3484" spans="1:2" ht="15">
      <c r="A3484" s="113" t="s">
        <v>7790</v>
      </c>
      <c r="B3484" s="112" t="s">
        <v>11323</v>
      </c>
    </row>
    <row r="3485" spans="1:2" ht="15">
      <c r="A3485" s="113" t="s">
        <v>7791</v>
      </c>
      <c r="B3485" s="112" t="s">
        <v>11323</v>
      </c>
    </row>
    <row r="3486" spans="1:2" ht="15">
      <c r="A3486" s="113" t="s">
        <v>7792</v>
      </c>
      <c r="B3486" s="112" t="s">
        <v>11323</v>
      </c>
    </row>
    <row r="3487" spans="1:2" ht="15">
      <c r="A3487" s="113" t="s">
        <v>7793</v>
      </c>
      <c r="B3487" s="112" t="s">
        <v>11323</v>
      </c>
    </row>
    <row r="3488" spans="1:2" ht="15">
      <c r="A3488" s="113" t="s">
        <v>7794</v>
      </c>
      <c r="B3488" s="112" t="s">
        <v>11323</v>
      </c>
    </row>
    <row r="3489" spans="1:2" ht="15">
      <c r="A3489" s="113" t="s">
        <v>7795</v>
      </c>
      <c r="B3489" s="112" t="s">
        <v>11323</v>
      </c>
    </row>
    <row r="3490" spans="1:2" ht="15">
      <c r="A3490" s="113" t="s">
        <v>7796</v>
      </c>
      <c r="B3490" s="112" t="s">
        <v>11323</v>
      </c>
    </row>
    <row r="3491" spans="1:2" ht="15">
      <c r="A3491" s="113" t="s">
        <v>7797</v>
      </c>
      <c r="B3491" s="112" t="s">
        <v>11323</v>
      </c>
    </row>
    <row r="3492" spans="1:2" ht="15">
      <c r="A3492" s="113" t="s">
        <v>7798</v>
      </c>
      <c r="B3492" s="112" t="s">
        <v>11323</v>
      </c>
    </row>
    <row r="3493" spans="1:2" ht="15">
      <c r="A3493" s="113" t="s">
        <v>7799</v>
      </c>
      <c r="B3493" s="112" t="s">
        <v>11323</v>
      </c>
    </row>
    <row r="3494" spans="1:2" ht="15">
      <c r="A3494" s="113" t="s">
        <v>7800</v>
      </c>
      <c r="B3494" s="112" t="s">
        <v>11323</v>
      </c>
    </row>
    <row r="3495" spans="1:2" ht="15">
      <c r="A3495" s="113" t="s">
        <v>7801</v>
      </c>
      <c r="B3495" s="112" t="s">
        <v>11323</v>
      </c>
    </row>
    <row r="3496" spans="1:2" ht="15">
      <c r="A3496" s="113" t="s">
        <v>7802</v>
      </c>
      <c r="B3496" s="112" t="s">
        <v>11323</v>
      </c>
    </row>
    <row r="3497" spans="1:2" ht="15">
      <c r="A3497" s="113" t="s">
        <v>7803</v>
      </c>
      <c r="B3497" s="112" t="s">
        <v>11323</v>
      </c>
    </row>
    <row r="3498" spans="1:2" ht="15">
      <c r="A3498" s="113" t="s">
        <v>7804</v>
      </c>
      <c r="B3498" s="112" t="s">
        <v>11323</v>
      </c>
    </row>
    <row r="3499" spans="1:2" ht="15">
      <c r="A3499" s="113" t="s">
        <v>7805</v>
      </c>
      <c r="B3499" s="112" t="s">
        <v>11323</v>
      </c>
    </row>
    <row r="3500" spans="1:2" ht="15">
      <c r="A3500" s="113" t="s">
        <v>7806</v>
      </c>
      <c r="B3500" s="112" t="s">
        <v>11323</v>
      </c>
    </row>
    <row r="3501" spans="1:2" ht="15">
      <c r="A3501" s="113" t="s">
        <v>7807</v>
      </c>
      <c r="B3501" s="112" t="s">
        <v>11323</v>
      </c>
    </row>
    <row r="3502" spans="1:2" ht="15">
      <c r="A3502" s="113" t="s">
        <v>7808</v>
      </c>
      <c r="B3502" s="112" t="s">
        <v>11323</v>
      </c>
    </row>
    <row r="3503" spans="1:2" ht="15">
      <c r="A3503" s="113" t="s">
        <v>7809</v>
      </c>
      <c r="B3503" s="112" t="s">
        <v>11323</v>
      </c>
    </row>
    <row r="3504" spans="1:2" ht="15">
      <c r="A3504" s="113" t="s">
        <v>7810</v>
      </c>
      <c r="B3504" s="112" t="s">
        <v>11323</v>
      </c>
    </row>
    <row r="3505" spans="1:2" ht="15">
      <c r="A3505" s="113" t="s">
        <v>7811</v>
      </c>
      <c r="B3505" s="112" t="s">
        <v>11323</v>
      </c>
    </row>
    <row r="3506" spans="1:2" ht="15">
      <c r="A3506" s="113" t="s">
        <v>7812</v>
      </c>
      <c r="B3506" s="112" t="s">
        <v>11323</v>
      </c>
    </row>
    <row r="3507" spans="1:2" ht="15">
      <c r="A3507" s="113" t="s">
        <v>7813</v>
      </c>
      <c r="B3507" s="112" t="s">
        <v>11323</v>
      </c>
    </row>
    <row r="3508" spans="1:2" ht="15">
      <c r="A3508" s="113" t="s">
        <v>7814</v>
      </c>
      <c r="B3508" s="112" t="s">
        <v>11323</v>
      </c>
    </row>
    <row r="3509" spans="1:2" ht="15">
      <c r="A3509" s="113" t="s">
        <v>7815</v>
      </c>
      <c r="B3509" s="112" t="s">
        <v>11323</v>
      </c>
    </row>
    <row r="3510" spans="1:2" ht="15">
      <c r="A3510" s="113" t="s">
        <v>7816</v>
      </c>
      <c r="B3510" s="112" t="s">
        <v>11323</v>
      </c>
    </row>
    <row r="3511" spans="1:2" ht="15">
      <c r="A3511" s="113" t="s">
        <v>7817</v>
      </c>
      <c r="B3511" s="112" t="s">
        <v>11323</v>
      </c>
    </row>
    <row r="3512" spans="1:2" ht="15">
      <c r="A3512" s="113" t="s">
        <v>7818</v>
      </c>
      <c r="B3512" s="112" t="s">
        <v>11323</v>
      </c>
    </row>
    <row r="3513" spans="1:2" ht="15">
      <c r="A3513" s="113" t="s">
        <v>7819</v>
      </c>
      <c r="B3513" s="112" t="s">
        <v>11323</v>
      </c>
    </row>
    <row r="3514" spans="1:2" ht="15">
      <c r="A3514" s="113" t="s">
        <v>7820</v>
      </c>
      <c r="B3514" s="112" t="s">
        <v>11323</v>
      </c>
    </row>
    <row r="3515" spans="1:2" ht="15">
      <c r="A3515" s="113" t="s">
        <v>7821</v>
      </c>
      <c r="B3515" s="112" t="s">
        <v>11323</v>
      </c>
    </row>
    <row r="3516" spans="1:2" ht="15">
      <c r="A3516" s="113" t="s">
        <v>7822</v>
      </c>
      <c r="B3516" s="112" t="s">
        <v>11323</v>
      </c>
    </row>
    <row r="3517" spans="1:2" ht="15">
      <c r="A3517" s="113" t="s">
        <v>7823</v>
      </c>
      <c r="B3517" s="112" t="s">
        <v>11323</v>
      </c>
    </row>
    <row r="3518" spans="1:2" ht="15">
      <c r="A3518" s="113" t="s">
        <v>7824</v>
      </c>
      <c r="B3518" s="112" t="s">
        <v>11323</v>
      </c>
    </row>
    <row r="3519" spans="1:2" ht="15">
      <c r="A3519" s="113" t="s">
        <v>7825</v>
      </c>
      <c r="B3519" s="112" t="s">
        <v>11323</v>
      </c>
    </row>
    <row r="3520" spans="1:2" ht="15">
      <c r="A3520" s="113" t="s">
        <v>7826</v>
      </c>
      <c r="B3520" s="112" t="s">
        <v>11323</v>
      </c>
    </row>
    <row r="3521" spans="1:2" ht="15">
      <c r="A3521" s="113" t="s">
        <v>7827</v>
      </c>
      <c r="B3521" s="112" t="s">
        <v>11323</v>
      </c>
    </row>
    <row r="3522" spans="1:2" ht="15">
      <c r="A3522" s="113" t="s">
        <v>7828</v>
      </c>
      <c r="B3522" s="112" t="s">
        <v>11323</v>
      </c>
    </row>
    <row r="3523" spans="1:2" ht="15">
      <c r="A3523" s="113" t="s">
        <v>7829</v>
      </c>
      <c r="B3523" s="112" t="s">
        <v>11323</v>
      </c>
    </row>
    <row r="3524" spans="1:2" ht="15">
      <c r="A3524" s="113" t="s">
        <v>7830</v>
      </c>
      <c r="B3524" s="112" t="s">
        <v>11323</v>
      </c>
    </row>
    <row r="3525" spans="1:2" ht="15">
      <c r="A3525" s="113" t="s">
        <v>7831</v>
      </c>
      <c r="B3525" s="112" t="s">
        <v>11323</v>
      </c>
    </row>
    <row r="3526" spans="1:2" ht="15">
      <c r="A3526" s="113" t="s">
        <v>7832</v>
      </c>
      <c r="B3526" s="112" t="s">
        <v>11323</v>
      </c>
    </row>
    <row r="3527" spans="1:2" ht="15">
      <c r="A3527" s="113" t="s">
        <v>7833</v>
      </c>
      <c r="B3527" s="112" t="s">
        <v>11323</v>
      </c>
    </row>
    <row r="3528" spans="1:2" ht="15">
      <c r="A3528" s="113" t="s">
        <v>7834</v>
      </c>
      <c r="B3528" s="112" t="s">
        <v>11323</v>
      </c>
    </row>
    <row r="3529" spans="1:2" ht="15">
      <c r="A3529" s="113" t="s">
        <v>7835</v>
      </c>
      <c r="B3529" s="112" t="s">
        <v>11323</v>
      </c>
    </row>
    <row r="3530" spans="1:2" ht="15">
      <c r="A3530" s="113" t="s">
        <v>7836</v>
      </c>
      <c r="B3530" s="112" t="s">
        <v>11323</v>
      </c>
    </row>
    <row r="3531" spans="1:2" ht="15">
      <c r="A3531" s="113" t="s">
        <v>7837</v>
      </c>
      <c r="B3531" s="112" t="s">
        <v>11323</v>
      </c>
    </row>
    <row r="3532" spans="1:2" ht="15">
      <c r="A3532" s="113" t="s">
        <v>7838</v>
      </c>
      <c r="B3532" s="112" t="s">
        <v>11323</v>
      </c>
    </row>
    <row r="3533" spans="1:2" ht="15">
      <c r="A3533" s="113" t="s">
        <v>7839</v>
      </c>
      <c r="B3533" s="112" t="s">
        <v>11323</v>
      </c>
    </row>
    <row r="3534" spans="1:2" ht="15">
      <c r="A3534" s="113" t="s">
        <v>7840</v>
      </c>
      <c r="B3534" s="112" t="s">
        <v>11323</v>
      </c>
    </row>
    <row r="3535" spans="1:2" ht="15">
      <c r="A3535" s="113" t="s">
        <v>7841</v>
      </c>
      <c r="B3535" s="112" t="s">
        <v>11323</v>
      </c>
    </row>
    <row r="3536" spans="1:2" ht="15">
      <c r="A3536" s="113" t="s">
        <v>7842</v>
      </c>
      <c r="B3536" s="112" t="s">
        <v>11323</v>
      </c>
    </row>
    <row r="3537" spans="1:2" ht="15">
      <c r="A3537" s="113" t="s">
        <v>7843</v>
      </c>
      <c r="B3537" s="112" t="s">
        <v>11323</v>
      </c>
    </row>
    <row r="3538" spans="1:2" ht="15">
      <c r="A3538" s="113" t="s">
        <v>7844</v>
      </c>
      <c r="B3538" s="112" t="s">
        <v>11323</v>
      </c>
    </row>
    <row r="3539" spans="1:2" ht="15">
      <c r="A3539" s="113" t="s">
        <v>7845</v>
      </c>
      <c r="B3539" s="112" t="s">
        <v>11323</v>
      </c>
    </row>
    <row r="3540" spans="1:2" ht="15">
      <c r="A3540" s="113" t="s">
        <v>7846</v>
      </c>
      <c r="B3540" s="112" t="s">
        <v>11323</v>
      </c>
    </row>
    <row r="3541" spans="1:2" ht="15">
      <c r="A3541" s="113" t="s">
        <v>7847</v>
      </c>
      <c r="B3541" s="112" t="s">
        <v>11323</v>
      </c>
    </row>
    <row r="3542" spans="1:2" ht="15">
      <c r="A3542" s="113" t="s">
        <v>7848</v>
      </c>
      <c r="B3542" s="112" t="s">
        <v>11323</v>
      </c>
    </row>
    <row r="3543" spans="1:2" ht="15">
      <c r="A3543" s="113" t="s">
        <v>7849</v>
      </c>
      <c r="B3543" s="112" t="s">
        <v>11323</v>
      </c>
    </row>
    <row r="3544" spans="1:2" ht="15">
      <c r="A3544" s="113" t="s">
        <v>7850</v>
      </c>
      <c r="B3544" s="112" t="s">
        <v>11323</v>
      </c>
    </row>
    <row r="3545" spans="1:2" ht="15">
      <c r="A3545" s="113" t="s">
        <v>7851</v>
      </c>
      <c r="B3545" s="112" t="s">
        <v>11323</v>
      </c>
    </row>
    <row r="3546" spans="1:2" ht="15">
      <c r="A3546" s="113" t="s">
        <v>7852</v>
      </c>
      <c r="B3546" s="112" t="s">
        <v>11323</v>
      </c>
    </row>
    <row r="3547" spans="1:2" ht="15">
      <c r="A3547" s="113" t="s">
        <v>7853</v>
      </c>
      <c r="B3547" s="112" t="s">
        <v>11323</v>
      </c>
    </row>
    <row r="3548" spans="1:2" ht="15">
      <c r="A3548" s="113" t="s">
        <v>7854</v>
      </c>
      <c r="B3548" s="112" t="s">
        <v>11323</v>
      </c>
    </row>
    <row r="3549" spans="1:2" ht="15">
      <c r="A3549" s="113" t="s">
        <v>7855</v>
      </c>
      <c r="B3549" s="112" t="s">
        <v>11323</v>
      </c>
    </row>
    <row r="3550" spans="1:2" ht="15">
      <c r="A3550" s="113" t="s">
        <v>7856</v>
      </c>
      <c r="B3550" s="112" t="s">
        <v>11323</v>
      </c>
    </row>
    <row r="3551" spans="1:2" ht="15">
      <c r="A3551" s="113" t="s">
        <v>7857</v>
      </c>
      <c r="B3551" s="112" t="s">
        <v>11323</v>
      </c>
    </row>
    <row r="3552" spans="1:2" ht="15">
      <c r="A3552" s="113" t="s">
        <v>7858</v>
      </c>
      <c r="B3552" s="112" t="s">
        <v>11323</v>
      </c>
    </row>
    <row r="3553" spans="1:2" ht="15">
      <c r="A3553" s="113" t="s">
        <v>7859</v>
      </c>
      <c r="B3553" s="112" t="s">
        <v>11323</v>
      </c>
    </row>
    <row r="3554" spans="1:2" ht="15">
      <c r="A3554" s="113" t="s">
        <v>7860</v>
      </c>
      <c r="B3554" s="112" t="s">
        <v>11323</v>
      </c>
    </row>
    <row r="3555" spans="1:2" ht="15">
      <c r="A3555" s="113" t="s">
        <v>7861</v>
      </c>
      <c r="B3555" s="112" t="s">
        <v>11323</v>
      </c>
    </row>
    <row r="3556" spans="1:2" ht="15">
      <c r="A3556" s="113" t="s">
        <v>7862</v>
      </c>
      <c r="B3556" s="112" t="s">
        <v>11323</v>
      </c>
    </row>
    <row r="3557" spans="1:2" ht="15">
      <c r="A3557" s="113" t="s">
        <v>7863</v>
      </c>
      <c r="B3557" s="112" t="s">
        <v>11323</v>
      </c>
    </row>
    <row r="3558" spans="1:2" ht="15">
      <c r="A3558" s="113" t="s">
        <v>7864</v>
      </c>
      <c r="B3558" s="112" t="s">
        <v>11323</v>
      </c>
    </row>
    <row r="3559" spans="1:2" ht="15">
      <c r="A3559" s="113" t="s">
        <v>7865</v>
      </c>
      <c r="B3559" s="112" t="s">
        <v>11323</v>
      </c>
    </row>
    <row r="3560" spans="1:2" ht="15">
      <c r="A3560" s="113" t="s">
        <v>7866</v>
      </c>
      <c r="B3560" s="112" t="s">
        <v>11323</v>
      </c>
    </row>
    <row r="3561" spans="1:2" ht="15">
      <c r="A3561" s="113" t="s">
        <v>7867</v>
      </c>
      <c r="B3561" s="112" t="s">
        <v>11323</v>
      </c>
    </row>
    <row r="3562" spans="1:2" ht="15">
      <c r="A3562" s="113" t="s">
        <v>7868</v>
      </c>
      <c r="B3562" s="112" t="s">
        <v>11323</v>
      </c>
    </row>
    <row r="3563" spans="1:2" ht="15">
      <c r="A3563" s="113" t="s">
        <v>7869</v>
      </c>
      <c r="B3563" s="112" t="s">
        <v>11323</v>
      </c>
    </row>
    <row r="3564" spans="1:2" ht="15">
      <c r="A3564" s="113" t="s">
        <v>7870</v>
      </c>
      <c r="B3564" s="112" t="s">
        <v>11323</v>
      </c>
    </row>
    <row r="3565" spans="1:2" ht="15">
      <c r="A3565" s="113" t="s">
        <v>7871</v>
      </c>
      <c r="B3565" s="112" t="s">
        <v>11323</v>
      </c>
    </row>
    <row r="3566" spans="1:2" ht="15">
      <c r="A3566" s="113" t="s">
        <v>7872</v>
      </c>
      <c r="B3566" s="112" t="s">
        <v>11323</v>
      </c>
    </row>
    <row r="3567" spans="1:2" ht="15">
      <c r="A3567" s="113" t="s">
        <v>7873</v>
      </c>
      <c r="B3567" s="112" t="s">
        <v>11323</v>
      </c>
    </row>
    <row r="3568" spans="1:2" ht="15">
      <c r="A3568" s="113" t="s">
        <v>7874</v>
      </c>
      <c r="B3568" s="112" t="s">
        <v>11323</v>
      </c>
    </row>
    <row r="3569" spans="1:2" ht="15">
      <c r="A3569" s="113" t="s">
        <v>7875</v>
      </c>
      <c r="B3569" s="112" t="s">
        <v>11323</v>
      </c>
    </row>
    <row r="3570" spans="1:2" ht="15">
      <c r="A3570" s="113" t="s">
        <v>7876</v>
      </c>
      <c r="B3570" s="112" t="s">
        <v>11323</v>
      </c>
    </row>
    <row r="3571" spans="1:2" ht="15">
      <c r="A3571" s="113" t="s">
        <v>7877</v>
      </c>
      <c r="B3571" s="112" t="s">
        <v>11323</v>
      </c>
    </row>
    <row r="3572" spans="1:2" ht="15">
      <c r="A3572" s="113" t="s">
        <v>7878</v>
      </c>
      <c r="B3572" s="112" t="s">
        <v>11323</v>
      </c>
    </row>
    <row r="3573" spans="1:2" ht="15">
      <c r="A3573" s="113" t="s">
        <v>7879</v>
      </c>
      <c r="B3573" s="112" t="s">
        <v>11323</v>
      </c>
    </row>
    <row r="3574" spans="1:2" ht="15">
      <c r="A3574" s="113" t="s">
        <v>7880</v>
      </c>
      <c r="B3574" s="112" t="s">
        <v>11323</v>
      </c>
    </row>
    <row r="3575" spans="1:2" ht="15">
      <c r="A3575" s="113" t="s">
        <v>7881</v>
      </c>
      <c r="B3575" s="112" t="s">
        <v>11323</v>
      </c>
    </row>
    <row r="3576" spans="1:2" ht="15">
      <c r="A3576" s="113" t="s">
        <v>7882</v>
      </c>
      <c r="B3576" s="112" t="s">
        <v>11323</v>
      </c>
    </row>
    <row r="3577" spans="1:2" ht="15">
      <c r="A3577" s="113" t="s">
        <v>7883</v>
      </c>
      <c r="B3577" s="112" t="s">
        <v>11323</v>
      </c>
    </row>
    <row r="3578" spans="1:2" ht="15">
      <c r="A3578" s="113" t="s">
        <v>7884</v>
      </c>
      <c r="B3578" s="112" t="s">
        <v>11323</v>
      </c>
    </row>
    <row r="3579" spans="1:2" ht="15">
      <c r="A3579" s="113" t="s">
        <v>7885</v>
      </c>
      <c r="B3579" s="112" t="s">
        <v>11323</v>
      </c>
    </row>
    <row r="3580" spans="1:2" ht="15">
      <c r="A3580" s="113" t="s">
        <v>7886</v>
      </c>
      <c r="B3580" s="112" t="s">
        <v>11323</v>
      </c>
    </row>
    <row r="3581" spans="1:2" ht="15">
      <c r="A3581" s="113" t="s">
        <v>7887</v>
      </c>
      <c r="B3581" s="112" t="s">
        <v>11323</v>
      </c>
    </row>
    <row r="3582" spans="1:2" ht="15">
      <c r="A3582" s="113" t="s">
        <v>7888</v>
      </c>
      <c r="B3582" s="112" t="s">
        <v>11323</v>
      </c>
    </row>
    <row r="3583" spans="1:2" ht="15">
      <c r="A3583" s="113" t="s">
        <v>7889</v>
      </c>
      <c r="B3583" s="112" t="s">
        <v>11323</v>
      </c>
    </row>
    <row r="3584" spans="1:2" ht="15">
      <c r="A3584" s="113" t="s">
        <v>7890</v>
      </c>
      <c r="B3584" s="112" t="s">
        <v>11323</v>
      </c>
    </row>
    <row r="3585" spans="1:2" ht="15">
      <c r="A3585" s="113" t="s">
        <v>7891</v>
      </c>
      <c r="B3585" s="112" t="s">
        <v>11323</v>
      </c>
    </row>
    <row r="3586" spans="1:2" ht="15">
      <c r="A3586" s="113" t="s">
        <v>7892</v>
      </c>
      <c r="B3586" s="112" t="s">
        <v>11323</v>
      </c>
    </row>
    <row r="3587" spans="1:2" ht="15">
      <c r="A3587" s="113" t="s">
        <v>7893</v>
      </c>
      <c r="B3587" s="112" t="s">
        <v>11323</v>
      </c>
    </row>
    <row r="3588" spans="1:2" ht="15">
      <c r="A3588" s="113" t="s">
        <v>7894</v>
      </c>
      <c r="B3588" s="112" t="s">
        <v>11323</v>
      </c>
    </row>
    <row r="3589" spans="1:2" ht="15">
      <c r="A3589" s="113" t="s">
        <v>7895</v>
      </c>
      <c r="B3589" s="112" t="s">
        <v>11323</v>
      </c>
    </row>
    <row r="3590" spans="1:2" ht="15">
      <c r="A3590" s="113" t="s">
        <v>7896</v>
      </c>
      <c r="B3590" s="112" t="s">
        <v>11323</v>
      </c>
    </row>
    <row r="3591" spans="1:2" ht="15">
      <c r="A3591" s="113" t="s">
        <v>7897</v>
      </c>
      <c r="B3591" s="112" t="s">
        <v>11323</v>
      </c>
    </row>
    <row r="3592" spans="1:2" ht="15">
      <c r="A3592" s="113" t="s">
        <v>7898</v>
      </c>
      <c r="B3592" s="112" t="s">
        <v>11323</v>
      </c>
    </row>
    <row r="3593" spans="1:2" ht="15">
      <c r="A3593" s="113" t="s">
        <v>7899</v>
      </c>
      <c r="B3593" s="112" t="s">
        <v>11323</v>
      </c>
    </row>
    <row r="3594" spans="1:2" ht="15">
      <c r="A3594" s="113" t="s">
        <v>7900</v>
      </c>
      <c r="B3594" s="112" t="s">
        <v>11323</v>
      </c>
    </row>
    <row r="3595" spans="1:2" ht="15">
      <c r="A3595" s="113" t="s">
        <v>7901</v>
      </c>
      <c r="B3595" s="112" t="s">
        <v>11323</v>
      </c>
    </row>
    <row r="3596" spans="1:2" ht="15">
      <c r="A3596" s="113" t="s">
        <v>7902</v>
      </c>
      <c r="B3596" s="112" t="s">
        <v>11323</v>
      </c>
    </row>
    <row r="3597" spans="1:2" ht="15">
      <c r="A3597" s="113" t="s">
        <v>7903</v>
      </c>
      <c r="B3597" s="112" t="s">
        <v>11323</v>
      </c>
    </row>
    <row r="3598" spans="1:2" ht="15">
      <c r="A3598" s="113" t="s">
        <v>7904</v>
      </c>
      <c r="B3598" s="112" t="s">
        <v>11323</v>
      </c>
    </row>
    <row r="3599" spans="1:2" ht="15">
      <c r="A3599" s="113" t="s">
        <v>7905</v>
      </c>
      <c r="B3599" s="112" t="s">
        <v>11323</v>
      </c>
    </row>
    <row r="3600" spans="1:2" ht="15">
      <c r="A3600" s="113" t="s">
        <v>7906</v>
      </c>
      <c r="B3600" s="112" t="s">
        <v>11323</v>
      </c>
    </row>
    <row r="3601" spans="1:2" ht="15">
      <c r="A3601" s="113" t="s">
        <v>7907</v>
      </c>
      <c r="B3601" s="112" t="s">
        <v>11323</v>
      </c>
    </row>
    <row r="3602" spans="1:2" ht="15">
      <c r="A3602" s="113" t="s">
        <v>7908</v>
      </c>
      <c r="B3602" s="112" t="s">
        <v>11323</v>
      </c>
    </row>
    <row r="3603" spans="1:2" ht="15">
      <c r="A3603" s="113" t="s">
        <v>7909</v>
      </c>
      <c r="B3603" s="112" t="s">
        <v>11323</v>
      </c>
    </row>
    <row r="3604" spans="1:2" ht="15">
      <c r="A3604" s="113" t="s">
        <v>7910</v>
      </c>
      <c r="B3604" s="112" t="s">
        <v>11323</v>
      </c>
    </row>
    <row r="3605" spans="1:2" ht="15">
      <c r="A3605" s="113" t="s">
        <v>7911</v>
      </c>
      <c r="B3605" s="112" t="s">
        <v>11323</v>
      </c>
    </row>
    <row r="3606" spans="1:2" ht="15">
      <c r="A3606" s="113" t="s">
        <v>7912</v>
      </c>
      <c r="B3606" s="112" t="s">
        <v>11323</v>
      </c>
    </row>
    <row r="3607" spans="1:2" ht="15">
      <c r="A3607" s="113" t="s">
        <v>7913</v>
      </c>
      <c r="B3607" s="112" t="s">
        <v>11323</v>
      </c>
    </row>
    <row r="3608" spans="1:2" ht="15">
      <c r="A3608" s="113" t="s">
        <v>7914</v>
      </c>
      <c r="B3608" s="112" t="s">
        <v>11323</v>
      </c>
    </row>
    <row r="3609" spans="1:2" ht="15">
      <c r="A3609" s="113" t="s">
        <v>7915</v>
      </c>
      <c r="B3609" s="112" t="s">
        <v>11323</v>
      </c>
    </row>
    <row r="3610" spans="1:2" ht="15">
      <c r="A3610" s="113" t="s">
        <v>7916</v>
      </c>
      <c r="B3610" s="112" t="s">
        <v>11323</v>
      </c>
    </row>
    <row r="3611" spans="1:2" ht="15">
      <c r="A3611" s="113" t="s">
        <v>7917</v>
      </c>
      <c r="B3611" s="112" t="s">
        <v>11323</v>
      </c>
    </row>
    <row r="3612" spans="1:2" ht="15">
      <c r="A3612" s="113" t="s">
        <v>7918</v>
      </c>
      <c r="B3612" s="112" t="s">
        <v>11323</v>
      </c>
    </row>
    <row r="3613" spans="1:2" ht="15">
      <c r="A3613" s="113" t="s">
        <v>7919</v>
      </c>
      <c r="B3613" s="112" t="s">
        <v>11323</v>
      </c>
    </row>
    <row r="3614" spans="1:2" ht="15">
      <c r="A3614" s="113" t="s">
        <v>7920</v>
      </c>
      <c r="B3614" s="112" t="s">
        <v>11323</v>
      </c>
    </row>
    <row r="3615" spans="1:2" ht="15">
      <c r="A3615" s="113" t="s">
        <v>7921</v>
      </c>
      <c r="B3615" s="112" t="s">
        <v>11323</v>
      </c>
    </row>
    <row r="3616" spans="1:2" ht="15">
      <c r="A3616" s="113" t="s">
        <v>7922</v>
      </c>
      <c r="B3616" s="112" t="s">
        <v>11323</v>
      </c>
    </row>
    <row r="3617" spans="1:2" ht="15">
      <c r="A3617" s="113" t="s">
        <v>7923</v>
      </c>
      <c r="B3617" s="112" t="s">
        <v>11323</v>
      </c>
    </row>
    <row r="3618" spans="1:2" ht="15">
      <c r="A3618" s="113" t="s">
        <v>7924</v>
      </c>
      <c r="B3618" s="112" t="s">
        <v>11323</v>
      </c>
    </row>
    <row r="3619" spans="1:2" ht="15">
      <c r="A3619" s="113" t="s">
        <v>7925</v>
      </c>
      <c r="B3619" s="112" t="s">
        <v>11323</v>
      </c>
    </row>
    <row r="3620" spans="1:2" ht="15">
      <c r="A3620" s="113" t="s">
        <v>7926</v>
      </c>
      <c r="B3620" s="112" t="s">
        <v>11323</v>
      </c>
    </row>
    <row r="3621" spans="1:2" ht="15">
      <c r="A3621" s="113" t="s">
        <v>7927</v>
      </c>
      <c r="B3621" s="112" t="s">
        <v>11323</v>
      </c>
    </row>
    <row r="3622" spans="1:2" ht="15">
      <c r="A3622" s="113" t="s">
        <v>7928</v>
      </c>
      <c r="B3622" s="112" t="s">
        <v>11323</v>
      </c>
    </row>
    <row r="3623" spans="1:2" ht="15">
      <c r="A3623" s="113" t="s">
        <v>7929</v>
      </c>
      <c r="B3623" s="112" t="s">
        <v>11323</v>
      </c>
    </row>
    <row r="3624" spans="1:2" ht="15">
      <c r="A3624" s="113" t="s">
        <v>7930</v>
      </c>
      <c r="B3624" s="112" t="s">
        <v>11323</v>
      </c>
    </row>
    <row r="3625" spans="1:2" ht="15">
      <c r="A3625" s="113" t="s">
        <v>7931</v>
      </c>
      <c r="B3625" s="112" t="s">
        <v>11323</v>
      </c>
    </row>
    <row r="3626" spans="1:2" ht="15">
      <c r="A3626" s="113" t="s">
        <v>7932</v>
      </c>
      <c r="B3626" s="112" t="s">
        <v>11323</v>
      </c>
    </row>
    <row r="3627" spans="1:2" ht="15">
      <c r="A3627" s="113" t="s">
        <v>7933</v>
      </c>
      <c r="B3627" s="112" t="s">
        <v>11323</v>
      </c>
    </row>
    <row r="3628" spans="1:2" ht="15">
      <c r="A3628" s="113" t="s">
        <v>7934</v>
      </c>
      <c r="B3628" s="112" t="s">
        <v>11323</v>
      </c>
    </row>
    <row r="3629" spans="1:2" ht="15">
      <c r="A3629" s="113" t="s">
        <v>7935</v>
      </c>
      <c r="B3629" s="112" t="s">
        <v>11323</v>
      </c>
    </row>
    <row r="3630" spans="1:2" ht="15">
      <c r="A3630" s="113" t="s">
        <v>7936</v>
      </c>
      <c r="B3630" s="112" t="s">
        <v>11323</v>
      </c>
    </row>
    <row r="3631" spans="1:2" ht="15">
      <c r="A3631" s="113" t="s">
        <v>7937</v>
      </c>
      <c r="B3631" s="112" t="s">
        <v>11323</v>
      </c>
    </row>
    <row r="3632" spans="1:2" ht="15">
      <c r="A3632" s="113" t="s">
        <v>7938</v>
      </c>
      <c r="B3632" s="112" t="s">
        <v>11323</v>
      </c>
    </row>
    <row r="3633" spans="1:2" ht="15">
      <c r="A3633" s="113" t="s">
        <v>7939</v>
      </c>
      <c r="B3633" s="112" t="s">
        <v>11323</v>
      </c>
    </row>
    <row r="3634" spans="1:2" ht="15">
      <c r="A3634" s="113" t="s">
        <v>7940</v>
      </c>
      <c r="B3634" s="112" t="s">
        <v>11323</v>
      </c>
    </row>
    <row r="3635" spans="1:2" ht="15">
      <c r="A3635" s="113" t="s">
        <v>7941</v>
      </c>
      <c r="B3635" s="112" t="s">
        <v>11323</v>
      </c>
    </row>
    <row r="3636" spans="1:2" ht="15">
      <c r="A3636" s="113" t="s">
        <v>7942</v>
      </c>
      <c r="B3636" s="112" t="s">
        <v>11323</v>
      </c>
    </row>
    <row r="3637" spans="1:2" ht="15">
      <c r="A3637" s="113" t="s">
        <v>7943</v>
      </c>
      <c r="B3637" s="112" t="s">
        <v>11323</v>
      </c>
    </row>
    <row r="3638" spans="1:2" ht="15">
      <c r="A3638" s="113" t="s">
        <v>7944</v>
      </c>
      <c r="B3638" s="112" t="s">
        <v>11323</v>
      </c>
    </row>
    <row r="3639" spans="1:2" ht="15">
      <c r="A3639" s="113" t="s">
        <v>7945</v>
      </c>
      <c r="B3639" s="112" t="s">
        <v>11323</v>
      </c>
    </row>
    <row r="3640" spans="1:2" ht="15">
      <c r="A3640" s="113" t="s">
        <v>7946</v>
      </c>
      <c r="B3640" s="112" t="s">
        <v>11323</v>
      </c>
    </row>
    <row r="3641" spans="1:2" ht="15">
      <c r="A3641" s="113" t="s">
        <v>7947</v>
      </c>
      <c r="B3641" s="112" t="s">
        <v>11323</v>
      </c>
    </row>
    <row r="3642" spans="1:2" ht="15">
      <c r="A3642" s="113" t="s">
        <v>7948</v>
      </c>
      <c r="B3642" s="112" t="s">
        <v>11323</v>
      </c>
    </row>
    <row r="3643" spans="1:2" ht="15">
      <c r="A3643" s="113" t="s">
        <v>7949</v>
      </c>
      <c r="B3643" s="112" t="s">
        <v>11323</v>
      </c>
    </row>
    <row r="3644" spans="1:2" ht="15">
      <c r="A3644" s="113" t="s">
        <v>7950</v>
      </c>
      <c r="B3644" s="112" t="s">
        <v>11323</v>
      </c>
    </row>
    <row r="3645" spans="1:2" ht="15">
      <c r="A3645" s="113" t="s">
        <v>7951</v>
      </c>
      <c r="B3645" s="112" t="s">
        <v>11323</v>
      </c>
    </row>
    <row r="3646" spans="1:2" ht="15">
      <c r="A3646" s="113" t="s">
        <v>7952</v>
      </c>
      <c r="B3646" s="112" t="s">
        <v>11323</v>
      </c>
    </row>
    <row r="3647" spans="1:2" ht="15">
      <c r="A3647" s="113" t="s">
        <v>7953</v>
      </c>
      <c r="B3647" s="112" t="s">
        <v>11323</v>
      </c>
    </row>
    <row r="3648" spans="1:2" ht="15">
      <c r="A3648" s="113" t="s">
        <v>7954</v>
      </c>
      <c r="B3648" s="112" t="s">
        <v>11323</v>
      </c>
    </row>
    <row r="3649" spans="1:2" ht="15">
      <c r="A3649" s="113" t="s">
        <v>7955</v>
      </c>
      <c r="B3649" s="112" t="s">
        <v>11323</v>
      </c>
    </row>
    <row r="3650" spans="1:2" ht="15">
      <c r="A3650" s="113" t="s">
        <v>7956</v>
      </c>
      <c r="B3650" s="112" t="s">
        <v>11323</v>
      </c>
    </row>
    <row r="3651" spans="1:2" ht="15">
      <c r="A3651" s="113" t="s">
        <v>7957</v>
      </c>
      <c r="B3651" s="112" t="s">
        <v>11323</v>
      </c>
    </row>
    <row r="3652" spans="1:2" ht="15">
      <c r="A3652" s="113" t="s">
        <v>7958</v>
      </c>
      <c r="B3652" s="112" t="s">
        <v>11323</v>
      </c>
    </row>
    <row r="3653" spans="1:2" ht="15">
      <c r="A3653" s="113" t="s">
        <v>7959</v>
      </c>
      <c r="B3653" s="112" t="s">
        <v>11323</v>
      </c>
    </row>
    <row r="3654" spans="1:2" ht="15">
      <c r="A3654" s="113" t="s">
        <v>7960</v>
      </c>
      <c r="B3654" s="112" t="s">
        <v>11323</v>
      </c>
    </row>
    <row r="3655" spans="1:2" ht="15">
      <c r="A3655" s="113" t="s">
        <v>7961</v>
      </c>
      <c r="B3655" s="112" t="s">
        <v>11323</v>
      </c>
    </row>
    <row r="3656" spans="1:2" ht="15">
      <c r="A3656" s="113" t="s">
        <v>7962</v>
      </c>
      <c r="B3656" s="112" t="s">
        <v>11323</v>
      </c>
    </row>
    <row r="3657" spans="1:2" ht="15">
      <c r="A3657" s="113" t="s">
        <v>7963</v>
      </c>
      <c r="B3657" s="112" t="s">
        <v>11323</v>
      </c>
    </row>
    <row r="3658" spans="1:2" ht="15">
      <c r="A3658" s="113" t="s">
        <v>7964</v>
      </c>
      <c r="B3658" s="112" t="s">
        <v>11323</v>
      </c>
    </row>
    <row r="3659" spans="1:2" ht="15">
      <c r="A3659" s="113" t="s">
        <v>7965</v>
      </c>
      <c r="B3659" s="112" t="s">
        <v>11323</v>
      </c>
    </row>
    <row r="3660" spans="1:2" ht="15">
      <c r="A3660" s="113" t="s">
        <v>7966</v>
      </c>
      <c r="B3660" s="112" t="s">
        <v>11323</v>
      </c>
    </row>
    <row r="3661" spans="1:2" ht="15">
      <c r="A3661" s="113" t="s">
        <v>7967</v>
      </c>
      <c r="B3661" s="112" t="s">
        <v>11323</v>
      </c>
    </row>
    <row r="3662" spans="1:2" ht="15">
      <c r="A3662" s="113" t="s">
        <v>7968</v>
      </c>
      <c r="B3662" s="112" t="s">
        <v>11323</v>
      </c>
    </row>
    <row r="3663" spans="1:2" ht="15">
      <c r="A3663" s="113" t="s">
        <v>7969</v>
      </c>
      <c r="B3663" s="112" t="s">
        <v>11323</v>
      </c>
    </row>
    <row r="3664" spans="1:2" ht="15">
      <c r="A3664" s="113" t="s">
        <v>7970</v>
      </c>
      <c r="B3664" s="112" t="s">
        <v>11323</v>
      </c>
    </row>
    <row r="3665" spans="1:2" ht="15">
      <c r="A3665" s="113" t="s">
        <v>7971</v>
      </c>
      <c r="B3665" s="112" t="s">
        <v>11323</v>
      </c>
    </row>
    <row r="3666" spans="1:2" ht="15">
      <c r="A3666" s="113" t="s">
        <v>7972</v>
      </c>
      <c r="B3666" s="112" t="s">
        <v>11323</v>
      </c>
    </row>
    <row r="3667" spans="1:2" ht="15">
      <c r="A3667" s="113" t="s">
        <v>7973</v>
      </c>
      <c r="B3667" s="112" t="s">
        <v>11323</v>
      </c>
    </row>
    <row r="3668" spans="1:2" ht="15">
      <c r="A3668" s="113" t="s">
        <v>7974</v>
      </c>
      <c r="B3668" s="112" t="s">
        <v>11323</v>
      </c>
    </row>
    <row r="3669" spans="1:2" ht="15">
      <c r="A3669" s="113" t="s">
        <v>7975</v>
      </c>
      <c r="B3669" s="112" t="s">
        <v>11323</v>
      </c>
    </row>
    <row r="3670" spans="1:2" ht="15">
      <c r="A3670" s="113" t="s">
        <v>7976</v>
      </c>
      <c r="B3670" s="112" t="s">
        <v>11323</v>
      </c>
    </row>
    <row r="3671" spans="1:2" ht="15">
      <c r="A3671" s="113" t="s">
        <v>7977</v>
      </c>
      <c r="B3671" s="112" t="s">
        <v>11323</v>
      </c>
    </row>
    <row r="3672" spans="1:2" ht="15">
      <c r="A3672" s="113" t="s">
        <v>7978</v>
      </c>
      <c r="B3672" s="112" t="s">
        <v>11323</v>
      </c>
    </row>
    <row r="3673" spans="1:2" ht="15">
      <c r="A3673" s="113" t="s">
        <v>7979</v>
      </c>
      <c r="B3673" s="112" t="s">
        <v>11323</v>
      </c>
    </row>
    <row r="3674" spans="1:2" ht="15">
      <c r="A3674" s="113" t="s">
        <v>7980</v>
      </c>
      <c r="B3674" s="112" t="s">
        <v>11323</v>
      </c>
    </row>
    <row r="3675" spans="1:2" ht="15">
      <c r="A3675" s="113" t="s">
        <v>7981</v>
      </c>
      <c r="B3675" s="112" t="s">
        <v>11323</v>
      </c>
    </row>
    <row r="3676" spans="1:2" ht="15">
      <c r="A3676" s="113" t="s">
        <v>7982</v>
      </c>
      <c r="B3676" s="112" t="s">
        <v>11323</v>
      </c>
    </row>
    <row r="3677" spans="1:2" ht="15">
      <c r="A3677" s="113" t="s">
        <v>7983</v>
      </c>
      <c r="B3677" s="112" t="s">
        <v>11323</v>
      </c>
    </row>
    <row r="3678" spans="1:2" ht="15">
      <c r="A3678" s="113" t="s">
        <v>7984</v>
      </c>
      <c r="B3678" s="112" t="s">
        <v>11323</v>
      </c>
    </row>
    <row r="3679" spans="1:2" ht="15">
      <c r="A3679" s="113" t="s">
        <v>7985</v>
      </c>
      <c r="B3679" s="112" t="s">
        <v>11323</v>
      </c>
    </row>
    <row r="3680" spans="1:2" ht="15">
      <c r="A3680" s="113" t="s">
        <v>7986</v>
      </c>
      <c r="B3680" s="112" t="s">
        <v>11323</v>
      </c>
    </row>
    <row r="3681" spans="1:2" ht="15">
      <c r="A3681" s="113" t="s">
        <v>7987</v>
      </c>
      <c r="B3681" s="112" t="s">
        <v>11323</v>
      </c>
    </row>
    <row r="3682" spans="1:2" ht="15">
      <c r="A3682" s="113" t="s">
        <v>7988</v>
      </c>
      <c r="B3682" s="112" t="s">
        <v>11323</v>
      </c>
    </row>
    <row r="3683" spans="1:2" ht="15">
      <c r="A3683" s="113" t="s">
        <v>7989</v>
      </c>
      <c r="B3683" s="112" t="s">
        <v>11323</v>
      </c>
    </row>
    <row r="3684" spans="1:2" ht="15">
      <c r="A3684" s="113" t="s">
        <v>7990</v>
      </c>
      <c r="B3684" s="112" t="s">
        <v>11323</v>
      </c>
    </row>
    <row r="3685" spans="1:2" ht="15">
      <c r="A3685" s="113" t="s">
        <v>7991</v>
      </c>
      <c r="B3685" s="112" t="s">
        <v>11323</v>
      </c>
    </row>
    <row r="3686" spans="1:2" ht="15">
      <c r="A3686" s="113" t="s">
        <v>7992</v>
      </c>
      <c r="B3686" s="112" t="s">
        <v>11323</v>
      </c>
    </row>
    <row r="3687" spans="1:2" ht="15">
      <c r="A3687" s="113" t="s">
        <v>7993</v>
      </c>
      <c r="B3687" s="112" t="s">
        <v>11323</v>
      </c>
    </row>
    <row r="3688" spans="1:2" ht="15">
      <c r="A3688" s="113" t="s">
        <v>7994</v>
      </c>
      <c r="B3688" s="112" t="s">
        <v>11323</v>
      </c>
    </row>
    <row r="3689" spans="1:2" ht="15">
      <c r="A3689" s="113" t="s">
        <v>7995</v>
      </c>
      <c r="B3689" s="112" t="s">
        <v>11323</v>
      </c>
    </row>
    <row r="3690" spans="1:2" ht="15">
      <c r="A3690" s="113" t="s">
        <v>7996</v>
      </c>
      <c r="B3690" s="112" t="s">
        <v>11323</v>
      </c>
    </row>
    <row r="3691" spans="1:2" ht="15">
      <c r="A3691" s="113" t="s">
        <v>7997</v>
      </c>
      <c r="B3691" s="112" t="s">
        <v>11323</v>
      </c>
    </row>
    <row r="3692" spans="1:2" ht="15">
      <c r="A3692" s="113" t="s">
        <v>7998</v>
      </c>
      <c r="B3692" s="112" t="s">
        <v>11323</v>
      </c>
    </row>
    <row r="3693" spans="1:2" ht="15">
      <c r="A3693" s="113" t="s">
        <v>7999</v>
      </c>
      <c r="B3693" s="112" t="s">
        <v>11323</v>
      </c>
    </row>
    <row r="3694" spans="1:2" ht="15">
      <c r="A3694" s="113" t="s">
        <v>8000</v>
      </c>
      <c r="B3694" s="112" t="s">
        <v>11323</v>
      </c>
    </row>
    <row r="3695" spans="1:2" ht="15">
      <c r="A3695" s="113" t="s">
        <v>8001</v>
      </c>
      <c r="B3695" s="112" t="s">
        <v>11323</v>
      </c>
    </row>
    <row r="3696" spans="1:2" ht="15">
      <c r="A3696" s="113" t="s">
        <v>8002</v>
      </c>
      <c r="B3696" s="112" t="s">
        <v>11323</v>
      </c>
    </row>
    <row r="3697" spans="1:2" ht="15">
      <c r="A3697" s="113" t="s">
        <v>8003</v>
      </c>
      <c r="B3697" s="112" t="s">
        <v>11323</v>
      </c>
    </row>
    <row r="3698" spans="1:2" ht="15">
      <c r="A3698" s="113" t="s">
        <v>8004</v>
      </c>
      <c r="B3698" s="112" t="s">
        <v>11323</v>
      </c>
    </row>
    <row r="3699" spans="1:2" ht="15">
      <c r="A3699" s="113" t="s">
        <v>8005</v>
      </c>
      <c r="B3699" s="112" t="s">
        <v>11323</v>
      </c>
    </row>
    <row r="3700" spans="1:2" ht="15">
      <c r="A3700" s="113" t="s">
        <v>8006</v>
      </c>
      <c r="B3700" s="112" t="s">
        <v>11323</v>
      </c>
    </row>
    <row r="3701" spans="1:2" ht="15">
      <c r="A3701" s="113" t="s">
        <v>8007</v>
      </c>
      <c r="B3701" s="112" t="s">
        <v>11323</v>
      </c>
    </row>
    <row r="3702" spans="1:2" ht="15">
      <c r="A3702" s="113" t="s">
        <v>8008</v>
      </c>
      <c r="B3702" s="112" t="s">
        <v>11323</v>
      </c>
    </row>
    <row r="3703" spans="1:2" ht="15">
      <c r="A3703" s="113" t="s">
        <v>8009</v>
      </c>
      <c r="B3703" s="112" t="s">
        <v>11323</v>
      </c>
    </row>
    <row r="3704" spans="1:2" ht="15">
      <c r="A3704" s="113" t="s">
        <v>8010</v>
      </c>
      <c r="B3704" s="112" t="s">
        <v>11323</v>
      </c>
    </row>
    <row r="3705" spans="1:2" ht="15">
      <c r="A3705" s="113" t="s">
        <v>8011</v>
      </c>
      <c r="B3705" s="112" t="s">
        <v>11323</v>
      </c>
    </row>
    <row r="3706" spans="1:2" ht="15">
      <c r="A3706" s="113" t="s">
        <v>8012</v>
      </c>
      <c r="B3706" s="112" t="s">
        <v>11323</v>
      </c>
    </row>
    <row r="3707" spans="1:2" ht="15">
      <c r="A3707" s="113" t="s">
        <v>8013</v>
      </c>
      <c r="B3707" s="112" t="s">
        <v>11323</v>
      </c>
    </row>
    <row r="3708" spans="1:2" ht="15">
      <c r="A3708" s="113" t="s">
        <v>8014</v>
      </c>
      <c r="B3708" s="112" t="s">
        <v>11323</v>
      </c>
    </row>
    <row r="3709" spans="1:2" ht="15">
      <c r="A3709" s="113" t="s">
        <v>8015</v>
      </c>
      <c r="B3709" s="112" t="s">
        <v>11323</v>
      </c>
    </row>
    <row r="3710" spans="1:2" ht="15">
      <c r="A3710" s="113" t="s">
        <v>8016</v>
      </c>
      <c r="B3710" s="112" t="s">
        <v>11323</v>
      </c>
    </row>
    <row r="3711" spans="1:2" ht="15">
      <c r="A3711" s="113" t="s">
        <v>8017</v>
      </c>
      <c r="B3711" s="112" t="s">
        <v>11323</v>
      </c>
    </row>
    <row r="3712" spans="1:2" ht="15">
      <c r="A3712" s="113" t="s">
        <v>8018</v>
      </c>
      <c r="B3712" s="112" t="s">
        <v>11323</v>
      </c>
    </row>
    <row r="3713" spans="1:2" ht="15">
      <c r="A3713" s="113" t="s">
        <v>8019</v>
      </c>
      <c r="B3713" s="112" t="s">
        <v>11323</v>
      </c>
    </row>
    <row r="3714" spans="1:2" ht="15">
      <c r="A3714" s="113" t="s">
        <v>8020</v>
      </c>
      <c r="B3714" s="112" t="s">
        <v>11323</v>
      </c>
    </row>
    <row r="3715" spans="1:2" ht="15">
      <c r="A3715" s="113" t="s">
        <v>8021</v>
      </c>
      <c r="B3715" s="112" t="s">
        <v>11323</v>
      </c>
    </row>
    <row r="3716" spans="1:2" ht="15">
      <c r="A3716" s="113" t="s">
        <v>8022</v>
      </c>
      <c r="B3716" s="112" t="s">
        <v>11323</v>
      </c>
    </row>
    <row r="3717" spans="1:2" ht="15">
      <c r="A3717" s="113" t="s">
        <v>8023</v>
      </c>
      <c r="B3717" s="112" t="s">
        <v>11323</v>
      </c>
    </row>
    <row r="3718" spans="1:2" ht="15">
      <c r="A3718" s="113" t="s">
        <v>8024</v>
      </c>
      <c r="B3718" s="112" t="s">
        <v>11323</v>
      </c>
    </row>
    <row r="3719" spans="1:2" ht="15">
      <c r="A3719" s="113" t="s">
        <v>8025</v>
      </c>
      <c r="B3719" s="112" t="s">
        <v>11323</v>
      </c>
    </row>
    <row r="3720" spans="1:2" ht="15">
      <c r="A3720" s="113" t="s">
        <v>8026</v>
      </c>
      <c r="B3720" s="112" t="s">
        <v>11323</v>
      </c>
    </row>
    <row r="3721" spans="1:2" ht="15">
      <c r="A3721" s="113" t="s">
        <v>8027</v>
      </c>
      <c r="B3721" s="112" t="s">
        <v>11323</v>
      </c>
    </row>
    <row r="3722" spans="1:2" ht="15">
      <c r="A3722" s="113" t="s">
        <v>8028</v>
      </c>
      <c r="B3722" s="112" t="s">
        <v>11323</v>
      </c>
    </row>
    <row r="3723" spans="1:2" ht="15">
      <c r="A3723" s="113" t="s">
        <v>8029</v>
      </c>
      <c r="B3723" s="112" t="s">
        <v>11323</v>
      </c>
    </row>
    <row r="3724" spans="1:2" ht="15">
      <c r="A3724" s="113" t="s">
        <v>8030</v>
      </c>
      <c r="B3724" s="112" t="s">
        <v>11323</v>
      </c>
    </row>
    <row r="3725" spans="1:2" ht="15">
      <c r="A3725" s="113" t="s">
        <v>8031</v>
      </c>
      <c r="B3725" s="112" t="s">
        <v>11323</v>
      </c>
    </row>
    <row r="3726" spans="1:2" ht="15">
      <c r="A3726" s="113" t="s">
        <v>8032</v>
      </c>
      <c r="B3726" s="112" t="s">
        <v>11323</v>
      </c>
    </row>
    <row r="3727" spans="1:2" ht="15">
      <c r="A3727" s="113" t="s">
        <v>8033</v>
      </c>
      <c r="B3727" s="112" t="s">
        <v>11323</v>
      </c>
    </row>
    <row r="3728" spans="1:2" ht="15">
      <c r="A3728" s="113" t="s">
        <v>8034</v>
      </c>
      <c r="B3728" s="112" t="s">
        <v>11323</v>
      </c>
    </row>
    <row r="3729" spans="1:2" ht="15">
      <c r="A3729" s="113" t="s">
        <v>8035</v>
      </c>
      <c r="B3729" s="112" t="s">
        <v>11323</v>
      </c>
    </row>
    <row r="3730" spans="1:2" ht="15">
      <c r="A3730" s="113" t="s">
        <v>8036</v>
      </c>
      <c r="B3730" s="112" t="s">
        <v>11323</v>
      </c>
    </row>
    <row r="3731" spans="1:2" ht="15">
      <c r="A3731" s="113" t="s">
        <v>8037</v>
      </c>
      <c r="B3731" s="112" t="s">
        <v>11323</v>
      </c>
    </row>
    <row r="3732" spans="1:2" ht="15">
      <c r="A3732" s="113" t="s">
        <v>8038</v>
      </c>
      <c r="B3732" s="112" t="s">
        <v>11323</v>
      </c>
    </row>
    <row r="3733" spans="1:2" ht="15">
      <c r="A3733" s="113" t="s">
        <v>8039</v>
      </c>
      <c r="B3733" s="112" t="s">
        <v>11323</v>
      </c>
    </row>
    <row r="3734" spans="1:2" ht="15">
      <c r="A3734" s="113" t="s">
        <v>8040</v>
      </c>
      <c r="B3734" s="112" t="s">
        <v>11323</v>
      </c>
    </row>
    <row r="3735" spans="1:2" ht="15">
      <c r="A3735" s="113" t="s">
        <v>8041</v>
      </c>
      <c r="B3735" s="112" t="s">
        <v>11323</v>
      </c>
    </row>
    <row r="3736" spans="1:2" ht="15">
      <c r="A3736" s="113" t="s">
        <v>8042</v>
      </c>
      <c r="B3736" s="112" t="s">
        <v>11323</v>
      </c>
    </row>
    <row r="3737" spans="1:2" ht="15">
      <c r="A3737" s="113" t="s">
        <v>8043</v>
      </c>
      <c r="B3737" s="112" t="s">
        <v>11323</v>
      </c>
    </row>
    <row r="3738" spans="1:2" ht="15">
      <c r="A3738" s="113" t="s">
        <v>8044</v>
      </c>
      <c r="B3738" s="112" t="s">
        <v>11323</v>
      </c>
    </row>
    <row r="3739" spans="1:2" ht="15">
      <c r="A3739" s="113" t="s">
        <v>8045</v>
      </c>
      <c r="B3739" s="112" t="s">
        <v>11323</v>
      </c>
    </row>
    <row r="3740" spans="1:2" ht="15">
      <c r="A3740" s="113" t="s">
        <v>8046</v>
      </c>
      <c r="B3740" s="112" t="s">
        <v>11323</v>
      </c>
    </row>
    <row r="3741" spans="1:2" ht="15">
      <c r="A3741" s="113" t="s">
        <v>8047</v>
      </c>
      <c r="B3741" s="112" t="s">
        <v>11323</v>
      </c>
    </row>
    <row r="3742" spans="1:2" ht="15">
      <c r="A3742" s="113" t="s">
        <v>8048</v>
      </c>
      <c r="B3742" s="112" t="s">
        <v>11323</v>
      </c>
    </row>
    <row r="3743" spans="1:2" ht="15">
      <c r="A3743" s="113" t="s">
        <v>8049</v>
      </c>
      <c r="B3743" s="112" t="s">
        <v>11323</v>
      </c>
    </row>
    <row r="3744" spans="1:2" ht="15">
      <c r="A3744" s="113" t="s">
        <v>8050</v>
      </c>
      <c r="B3744" s="112" t="s">
        <v>11323</v>
      </c>
    </row>
    <row r="3745" spans="1:2" ht="15">
      <c r="A3745" s="113" t="s">
        <v>8051</v>
      </c>
      <c r="B3745" s="112" t="s">
        <v>11323</v>
      </c>
    </row>
    <row r="3746" spans="1:2" ht="15">
      <c r="A3746" s="113" t="s">
        <v>8052</v>
      </c>
      <c r="B3746" s="112" t="s">
        <v>11323</v>
      </c>
    </row>
    <row r="3747" spans="1:2" ht="15">
      <c r="A3747" s="113" t="s">
        <v>8053</v>
      </c>
      <c r="B3747" s="112" t="s">
        <v>11323</v>
      </c>
    </row>
    <row r="3748" spans="1:2" ht="15">
      <c r="A3748" s="113" t="s">
        <v>8054</v>
      </c>
      <c r="B3748" s="112" t="s">
        <v>11323</v>
      </c>
    </row>
    <row r="3749" spans="1:2" ht="15">
      <c r="A3749" s="113" t="s">
        <v>8055</v>
      </c>
      <c r="B3749" s="112" t="s">
        <v>11323</v>
      </c>
    </row>
    <row r="3750" spans="1:2" ht="15">
      <c r="A3750" s="113" t="s">
        <v>8056</v>
      </c>
      <c r="B3750" s="112" t="s">
        <v>11323</v>
      </c>
    </row>
    <row r="3751" spans="1:2" ht="15">
      <c r="A3751" s="113" t="s">
        <v>8057</v>
      </c>
      <c r="B3751" s="112" t="s">
        <v>11323</v>
      </c>
    </row>
    <row r="3752" spans="1:2" ht="15">
      <c r="A3752" s="113" t="s">
        <v>8058</v>
      </c>
      <c r="B3752" s="112" t="s">
        <v>11323</v>
      </c>
    </row>
    <row r="3753" spans="1:2" ht="15">
      <c r="A3753" s="113" t="s">
        <v>8059</v>
      </c>
      <c r="B3753" s="112" t="s">
        <v>11323</v>
      </c>
    </row>
    <row r="3754" spans="1:2" ht="15">
      <c r="A3754" s="113" t="s">
        <v>8060</v>
      </c>
      <c r="B3754" s="112" t="s">
        <v>11323</v>
      </c>
    </row>
    <row r="3755" spans="1:2" ht="15">
      <c r="A3755" s="113" t="s">
        <v>8061</v>
      </c>
      <c r="B3755" s="112" t="s">
        <v>11323</v>
      </c>
    </row>
    <row r="3756" spans="1:2" ht="15">
      <c r="A3756" s="113" t="s">
        <v>8062</v>
      </c>
      <c r="B3756" s="112" t="s">
        <v>11323</v>
      </c>
    </row>
    <row r="3757" spans="1:2" ht="15">
      <c r="A3757" s="113" t="s">
        <v>8063</v>
      </c>
      <c r="B3757" s="112" t="s">
        <v>11323</v>
      </c>
    </row>
    <row r="3758" spans="1:2" ht="15">
      <c r="A3758" s="113" t="s">
        <v>8064</v>
      </c>
      <c r="B3758" s="112" t="s">
        <v>11323</v>
      </c>
    </row>
    <row r="3759" spans="1:2" ht="15">
      <c r="A3759" s="113" t="s">
        <v>8065</v>
      </c>
      <c r="B3759" s="112" t="s">
        <v>11323</v>
      </c>
    </row>
    <row r="3760" spans="1:2" ht="15">
      <c r="A3760" s="113" t="s">
        <v>8066</v>
      </c>
      <c r="B3760" s="112" t="s">
        <v>11323</v>
      </c>
    </row>
    <row r="3761" spans="1:2" ht="15">
      <c r="A3761" s="113" t="s">
        <v>8067</v>
      </c>
      <c r="B3761" s="112" t="s">
        <v>11323</v>
      </c>
    </row>
    <row r="3762" spans="1:2" ht="15">
      <c r="A3762" s="113" t="s">
        <v>8068</v>
      </c>
      <c r="B3762" s="112" t="s">
        <v>11323</v>
      </c>
    </row>
    <row r="3763" spans="1:2" ht="15">
      <c r="A3763" s="113" t="s">
        <v>8069</v>
      </c>
      <c r="B3763" s="112" t="s">
        <v>11323</v>
      </c>
    </row>
    <row r="3764" spans="1:2" ht="15">
      <c r="A3764" s="113" t="s">
        <v>8070</v>
      </c>
      <c r="B3764" s="112" t="s">
        <v>11323</v>
      </c>
    </row>
    <row r="3765" spans="1:2" ht="15">
      <c r="A3765" s="113" t="s">
        <v>8071</v>
      </c>
      <c r="B3765" s="112" t="s">
        <v>11323</v>
      </c>
    </row>
    <row r="3766" spans="1:2" ht="15">
      <c r="A3766" s="113" t="s">
        <v>8072</v>
      </c>
      <c r="B3766" s="112" t="s">
        <v>11323</v>
      </c>
    </row>
    <row r="3767" spans="1:2" ht="15">
      <c r="A3767" s="113" t="s">
        <v>8073</v>
      </c>
      <c r="B3767" s="112" t="s">
        <v>11323</v>
      </c>
    </row>
    <row r="3768" spans="1:2" ht="15">
      <c r="A3768" s="113" t="s">
        <v>8074</v>
      </c>
      <c r="B3768" s="112" t="s">
        <v>11323</v>
      </c>
    </row>
    <row r="3769" spans="1:2" ht="15">
      <c r="A3769" s="113" t="s">
        <v>8075</v>
      </c>
      <c r="B3769" s="112" t="s">
        <v>11323</v>
      </c>
    </row>
    <row r="3770" spans="1:2" ht="15">
      <c r="A3770" s="113" t="s">
        <v>8076</v>
      </c>
      <c r="B3770" s="112" t="s">
        <v>11323</v>
      </c>
    </row>
    <row r="3771" spans="1:2" ht="15">
      <c r="A3771" s="113" t="s">
        <v>8077</v>
      </c>
      <c r="B3771" s="112" t="s">
        <v>11323</v>
      </c>
    </row>
    <row r="3772" spans="1:2" ht="15">
      <c r="A3772" s="113" t="s">
        <v>8078</v>
      </c>
      <c r="B3772" s="112" t="s">
        <v>11323</v>
      </c>
    </row>
    <row r="3773" spans="1:2" ht="15">
      <c r="A3773" s="113" t="s">
        <v>8079</v>
      </c>
      <c r="B3773" s="112" t="s">
        <v>11323</v>
      </c>
    </row>
    <row r="3774" spans="1:2" ht="15">
      <c r="A3774" s="113" t="s">
        <v>8080</v>
      </c>
      <c r="B3774" s="112" t="s">
        <v>11323</v>
      </c>
    </row>
    <row r="3775" spans="1:2" ht="15">
      <c r="A3775" s="113" t="s">
        <v>8081</v>
      </c>
      <c r="B3775" s="112" t="s">
        <v>11323</v>
      </c>
    </row>
    <row r="3776" spans="1:2" ht="15">
      <c r="A3776" s="113" t="s">
        <v>8082</v>
      </c>
      <c r="B3776" s="112" t="s">
        <v>11323</v>
      </c>
    </row>
    <row r="3777" spans="1:2" ht="15">
      <c r="A3777" s="113" t="s">
        <v>8083</v>
      </c>
      <c r="B3777" s="112" t="s">
        <v>11323</v>
      </c>
    </row>
    <row r="3778" spans="1:2" ht="15">
      <c r="A3778" s="113" t="s">
        <v>8084</v>
      </c>
      <c r="B3778" s="112" t="s">
        <v>11323</v>
      </c>
    </row>
    <row r="3779" spans="1:2" ht="15">
      <c r="A3779" s="113" t="s">
        <v>8085</v>
      </c>
      <c r="B3779" s="112" t="s">
        <v>11323</v>
      </c>
    </row>
    <row r="3780" spans="1:2" ht="15">
      <c r="A3780" s="113" t="s">
        <v>8086</v>
      </c>
      <c r="B3780" s="112" t="s">
        <v>11323</v>
      </c>
    </row>
    <row r="3781" spans="1:2" ht="15">
      <c r="A3781" s="113" t="s">
        <v>8087</v>
      </c>
      <c r="B3781" s="112" t="s">
        <v>11323</v>
      </c>
    </row>
    <row r="3782" spans="1:2" ht="15">
      <c r="A3782" s="113" t="s">
        <v>8088</v>
      </c>
      <c r="B3782" s="112" t="s">
        <v>11323</v>
      </c>
    </row>
    <row r="3783" spans="1:2" ht="15">
      <c r="A3783" s="113" t="s">
        <v>8089</v>
      </c>
      <c r="B3783" s="112" t="s">
        <v>11323</v>
      </c>
    </row>
    <row r="3784" spans="1:2" ht="15">
      <c r="A3784" s="113" t="s">
        <v>8090</v>
      </c>
      <c r="B3784" s="112" t="s">
        <v>11323</v>
      </c>
    </row>
    <row r="3785" spans="1:2" ht="15">
      <c r="A3785" s="113" t="s">
        <v>8091</v>
      </c>
      <c r="B3785" s="112" t="s">
        <v>11323</v>
      </c>
    </row>
    <row r="3786" spans="1:2" ht="15">
      <c r="A3786" s="113" t="s">
        <v>8092</v>
      </c>
      <c r="B3786" s="112" t="s">
        <v>11323</v>
      </c>
    </row>
    <row r="3787" spans="1:2" ht="15">
      <c r="A3787" s="113" t="s">
        <v>8093</v>
      </c>
      <c r="B3787" s="112" t="s">
        <v>11323</v>
      </c>
    </row>
    <row r="3788" spans="1:2" ht="15">
      <c r="A3788" s="113" t="s">
        <v>8094</v>
      </c>
      <c r="B3788" s="112" t="s">
        <v>11323</v>
      </c>
    </row>
    <row r="3789" spans="1:2" ht="15">
      <c r="A3789" s="113" t="s">
        <v>8095</v>
      </c>
      <c r="B3789" s="112" t="s">
        <v>11323</v>
      </c>
    </row>
    <row r="3790" spans="1:2" ht="15">
      <c r="A3790" s="113" t="s">
        <v>8096</v>
      </c>
      <c r="B3790" s="112" t="s">
        <v>11323</v>
      </c>
    </row>
    <row r="3791" spans="1:2" ht="15">
      <c r="A3791" s="113" t="s">
        <v>8097</v>
      </c>
      <c r="B3791" s="112" t="s">
        <v>11323</v>
      </c>
    </row>
    <row r="3792" spans="1:2" ht="15">
      <c r="A3792" s="113" t="s">
        <v>8098</v>
      </c>
      <c r="B3792" s="112" t="s">
        <v>11323</v>
      </c>
    </row>
    <row r="3793" spans="1:2" ht="15">
      <c r="A3793" s="113" t="s">
        <v>8099</v>
      </c>
      <c r="B3793" s="112" t="s">
        <v>11323</v>
      </c>
    </row>
    <row r="3794" spans="1:2" ht="15">
      <c r="A3794" s="113" t="s">
        <v>8100</v>
      </c>
      <c r="B3794" s="112" t="s">
        <v>11323</v>
      </c>
    </row>
    <row r="3795" spans="1:2" ht="15">
      <c r="A3795" s="113" t="s">
        <v>8101</v>
      </c>
      <c r="B3795" s="112" t="s">
        <v>11323</v>
      </c>
    </row>
    <row r="3796" spans="1:2" ht="15">
      <c r="A3796" s="113" t="s">
        <v>8102</v>
      </c>
      <c r="B3796" s="112" t="s">
        <v>11323</v>
      </c>
    </row>
    <row r="3797" spans="1:2" ht="15">
      <c r="A3797" s="113" t="s">
        <v>8103</v>
      </c>
      <c r="B3797" s="112" t="s">
        <v>11323</v>
      </c>
    </row>
    <row r="3798" spans="1:2" ht="15">
      <c r="A3798" s="113" t="s">
        <v>8104</v>
      </c>
      <c r="B3798" s="112" t="s">
        <v>11323</v>
      </c>
    </row>
    <row r="3799" spans="1:2" ht="15">
      <c r="A3799" s="113" t="s">
        <v>8105</v>
      </c>
      <c r="B3799" s="112" t="s">
        <v>11323</v>
      </c>
    </row>
    <row r="3800" spans="1:2" ht="15">
      <c r="A3800" s="113" t="s">
        <v>8106</v>
      </c>
      <c r="B3800" s="112" t="s">
        <v>11323</v>
      </c>
    </row>
    <row r="3801" spans="1:2" ht="15">
      <c r="A3801" s="113" t="s">
        <v>8107</v>
      </c>
      <c r="B3801" s="112" t="s">
        <v>11323</v>
      </c>
    </row>
    <row r="3802" spans="1:2" ht="15">
      <c r="A3802" s="113" t="s">
        <v>8108</v>
      </c>
      <c r="B3802" s="112" t="s">
        <v>11323</v>
      </c>
    </row>
    <row r="3803" spans="1:2" ht="15">
      <c r="A3803" s="113" t="s">
        <v>8109</v>
      </c>
      <c r="B3803" s="112" t="s">
        <v>11323</v>
      </c>
    </row>
    <row r="3804" spans="1:2" ht="15">
      <c r="A3804" s="113" t="s">
        <v>8110</v>
      </c>
      <c r="B3804" s="112" t="s">
        <v>11323</v>
      </c>
    </row>
    <row r="3805" spans="1:2" ht="15">
      <c r="A3805" s="113" t="s">
        <v>8111</v>
      </c>
      <c r="B3805" s="112" t="s">
        <v>11323</v>
      </c>
    </row>
    <row r="3806" spans="1:2" ht="15">
      <c r="A3806" s="113" t="s">
        <v>8112</v>
      </c>
      <c r="B3806" s="112" t="s">
        <v>11323</v>
      </c>
    </row>
    <row r="3807" spans="1:2" ht="15">
      <c r="A3807" s="113" t="s">
        <v>8113</v>
      </c>
      <c r="B3807" s="112" t="s">
        <v>11323</v>
      </c>
    </row>
    <row r="3808" spans="1:2" ht="15">
      <c r="A3808" s="113" t="s">
        <v>8114</v>
      </c>
      <c r="B3808" s="112" t="s">
        <v>11323</v>
      </c>
    </row>
    <row r="3809" spans="1:2" ht="15">
      <c r="A3809" s="113" t="s">
        <v>8115</v>
      </c>
      <c r="B3809" s="112" t="s">
        <v>11323</v>
      </c>
    </row>
    <row r="3810" spans="1:2" ht="15">
      <c r="A3810" s="113" t="s">
        <v>8116</v>
      </c>
      <c r="B3810" s="112" t="s">
        <v>11323</v>
      </c>
    </row>
    <row r="3811" spans="1:2" ht="15">
      <c r="A3811" s="113" t="s">
        <v>8117</v>
      </c>
      <c r="B3811" s="112" t="s">
        <v>11323</v>
      </c>
    </row>
    <row r="3812" spans="1:2" ht="15">
      <c r="A3812" s="113" t="s">
        <v>8118</v>
      </c>
      <c r="B3812" s="112" t="s">
        <v>11323</v>
      </c>
    </row>
    <row r="3813" spans="1:2" ht="15">
      <c r="A3813" s="113" t="s">
        <v>8119</v>
      </c>
      <c r="B3813" s="112" t="s">
        <v>11323</v>
      </c>
    </row>
    <row r="3814" spans="1:2" ht="15">
      <c r="A3814" s="113" t="s">
        <v>8120</v>
      </c>
      <c r="B3814" s="112" t="s">
        <v>11323</v>
      </c>
    </row>
    <row r="3815" spans="1:2" ht="15">
      <c r="A3815" s="113" t="s">
        <v>8121</v>
      </c>
      <c r="B3815" s="112" t="s">
        <v>11323</v>
      </c>
    </row>
    <row r="3816" spans="1:2" ht="15">
      <c r="A3816" s="113" t="b">
        <v>0</v>
      </c>
      <c r="B3816" s="112" t="s">
        <v>11323</v>
      </c>
    </row>
    <row r="3817" spans="1:2" ht="15">
      <c r="A3817" s="113" t="s">
        <v>8122</v>
      </c>
      <c r="B3817" s="112" t="s">
        <v>11323</v>
      </c>
    </row>
    <row r="3818" spans="1:2" ht="15">
      <c r="A3818" s="113" t="s">
        <v>8123</v>
      </c>
      <c r="B3818" s="112" t="s">
        <v>11323</v>
      </c>
    </row>
    <row r="3819" spans="1:2" ht="15">
      <c r="A3819" s="113" t="s">
        <v>8124</v>
      </c>
      <c r="B3819" s="112" t="s">
        <v>11323</v>
      </c>
    </row>
    <row r="3820" spans="1:2" ht="15">
      <c r="A3820" s="113" t="s">
        <v>8125</v>
      </c>
      <c r="B3820" s="112" t="s">
        <v>11323</v>
      </c>
    </row>
    <row r="3821" spans="1:2" ht="15">
      <c r="A3821" s="113" t="s">
        <v>8126</v>
      </c>
      <c r="B3821" s="112" t="s">
        <v>11323</v>
      </c>
    </row>
    <row r="3822" spans="1:2" ht="15">
      <c r="A3822" s="113" t="s">
        <v>8127</v>
      </c>
      <c r="B3822" s="112" t="s">
        <v>11323</v>
      </c>
    </row>
    <row r="3823" spans="1:2" ht="15">
      <c r="A3823" s="113" t="s">
        <v>8128</v>
      </c>
      <c r="B3823" s="112" t="s">
        <v>11323</v>
      </c>
    </row>
    <row r="3824" spans="1:2" ht="15">
      <c r="A3824" s="113" t="s">
        <v>8129</v>
      </c>
      <c r="B3824" s="112" t="s">
        <v>11323</v>
      </c>
    </row>
    <row r="3825" spans="1:2" ht="15">
      <c r="A3825" s="113" t="s">
        <v>8130</v>
      </c>
      <c r="B3825" s="112" t="s">
        <v>11323</v>
      </c>
    </row>
    <row r="3826" spans="1:2" ht="15">
      <c r="A3826" s="113" t="s">
        <v>8131</v>
      </c>
      <c r="B3826" s="112" t="s">
        <v>11323</v>
      </c>
    </row>
    <row r="3827" spans="1:2" ht="15">
      <c r="A3827" s="113" t="s">
        <v>8132</v>
      </c>
      <c r="B3827" s="112" t="s">
        <v>11323</v>
      </c>
    </row>
    <row r="3828" spans="1:2" ht="15">
      <c r="A3828" s="113" t="s">
        <v>8133</v>
      </c>
      <c r="B3828" s="112" t="s">
        <v>11323</v>
      </c>
    </row>
    <row r="3829" spans="1:2" ht="15">
      <c r="A3829" s="113" t="s">
        <v>8134</v>
      </c>
      <c r="B3829" s="112" t="s">
        <v>11323</v>
      </c>
    </row>
    <row r="3830" spans="1:2" ht="15">
      <c r="A3830" s="113" t="s">
        <v>8135</v>
      </c>
      <c r="B3830" s="112" t="s">
        <v>11323</v>
      </c>
    </row>
    <row r="3831" spans="1:2" ht="15">
      <c r="A3831" s="113" t="s">
        <v>8136</v>
      </c>
      <c r="B3831" s="112" t="s">
        <v>11323</v>
      </c>
    </row>
    <row r="3832" spans="1:2" ht="15">
      <c r="A3832" s="113" t="s">
        <v>8137</v>
      </c>
      <c r="B3832" s="112" t="s">
        <v>11323</v>
      </c>
    </row>
    <row r="3833" spans="1:2" ht="15">
      <c r="A3833" s="113" t="s">
        <v>8138</v>
      </c>
      <c r="B3833" s="112" t="s">
        <v>11323</v>
      </c>
    </row>
    <row r="3834" spans="1:2" ht="15">
      <c r="A3834" s="113" t="s">
        <v>8139</v>
      </c>
      <c r="B3834" s="112" t="s">
        <v>11323</v>
      </c>
    </row>
    <row r="3835" spans="1:2" ht="15">
      <c r="A3835" s="113" t="s">
        <v>8140</v>
      </c>
      <c r="B3835" s="112" t="s">
        <v>11323</v>
      </c>
    </row>
    <row r="3836" spans="1:2" ht="15">
      <c r="A3836" s="113" t="s">
        <v>8141</v>
      </c>
      <c r="B3836" s="112" t="s">
        <v>11323</v>
      </c>
    </row>
    <row r="3837" spans="1:2" ht="15">
      <c r="A3837" s="113" t="s">
        <v>8142</v>
      </c>
      <c r="B3837" s="112" t="s">
        <v>11323</v>
      </c>
    </row>
    <row r="3838" spans="1:2" ht="15">
      <c r="A3838" s="113" t="s">
        <v>8143</v>
      </c>
      <c r="B3838" s="112" t="s">
        <v>11323</v>
      </c>
    </row>
    <row r="3839" spans="1:2" ht="15">
      <c r="A3839" s="113" t="s">
        <v>8144</v>
      </c>
      <c r="B3839" s="112" t="s">
        <v>11323</v>
      </c>
    </row>
    <row r="3840" spans="1:2" ht="15">
      <c r="A3840" s="113" t="s">
        <v>8145</v>
      </c>
      <c r="B3840" s="112" t="s">
        <v>11323</v>
      </c>
    </row>
    <row r="3841" spans="1:2" ht="15">
      <c r="A3841" s="113" t="s">
        <v>8146</v>
      </c>
      <c r="B3841" s="112" t="s">
        <v>11323</v>
      </c>
    </row>
    <row r="3842" spans="1:2" ht="15">
      <c r="A3842" s="113" t="s">
        <v>8147</v>
      </c>
      <c r="B3842" s="112" t="s">
        <v>11323</v>
      </c>
    </row>
    <row r="3843" spans="1:2" ht="15">
      <c r="A3843" s="113" t="s">
        <v>8148</v>
      </c>
      <c r="B3843" s="112" t="s">
        <v>11323</v>
      </c>
    </row>
    <row r="3844" spans="1:2" ht="15">
      <c r="A3844" s="113" t="s">
        <v>8149</v>
      </c>
      <c r="B3844" s="112" t="s">
        <v>11323</v>
      </c>
    </row>
    <row r="3845" spans="1:2" ht="15">
      <c r="A3845" s="113" t="s">
        <v>8150</v>
      </c>
      <c r="B3845" s="112" t="s">
        <v>11323</v>
      </c>
    </row>
    <row r="3846" spans="1:2" ht="15">
      <c r="A3846" s="113" t="s">
        <v>8151</v>
      </c>
      <c r="B3846" s="112" t="s">
        <v>11323</v>
      </c>
    </row>
    <row r="3847" spans="1:2" ht="15">
      <c r="A3847" s="113" t="s">
        <v>8152</v>
      </c>
      <c r="B3847" s="112" t="s">
        <v>11323</v>
      </c>
    </row>
    <row r="3848" spans="1:2" ht="15">
      <c r="A3848" s="113" t="s">
        <v>8153</v>
      </c>
      <c r="B3848" s="112" t="s">
        <v>11323</v>
      </c>
    </row>
    <row r="3849" spans="1:2" ht="15">
      <c r="A3849" s="113" t="s">
        <v>8154</v>
      </c>
      <c r="B3849" s="112" t="s">
        <v>11323</v>
      </c>
    </row>
    <row r="3850" spans="1:2" ht="15">
      <c r="A3850" s="113" t="s">
        <v>8155</v>
      </c>
      <c r="B3850" s="112" t="s">
        <v>11323</v>
      </c>
    </row>
    <row r="3851" spans="1:2" ht="15">
      <c r="A3851" s="113" t="s">
        <v>8156</v>
      </c>
      <c r="B3851" s="112" t="s">
        <v>11323</v>
      </c>
    </row>
    <row r="3852" spans="1:2" ht="15">
      <c r="A3852" s="113" t="s">
        <v>8157</v>
      </c>
      <c r="B3852" s="112" t="s">
        <v>11323</v>
      </c>
    </row>
    <row r="3853" spans="1:2" ht="15">
      <c r="A3853" s="113" t="s">
        <v>8158</v>
      </c>
      <c r="B3853" s="112" t="s">
        <v>11323</v>
      </c>
    </row>
    <row r="3854" spans="1:2" ht="15">
      <c r="A3854" s="113" t="s">
        <v>8159</v>
      </c>
      <c r="B3854" s="112" t="s">
        <v>11323</v>
      </c>
    </row>
    <row r="3855" spans="1:2" ht="15">
      <c r="A3855" s="113" t="s">
        <v>8160</v>
      </c>
      <c r="B3855" s="112" t="s">
        <v>11323</v>
      </c>
    </row>
    <row r="3856" spans="1:2" ht="15">
      <c r="A3856" s="113" t="s">
        <v>8161</v>
      </c>
      <c r="B3856" s="112" t="s">
        <v>11323</v>
      </c>
    </row>
    <row r="3857" spans="1:2" ht="15">
      <c r="A3857" s="113" t="s">
        <v>8162</v>
      </c>
      <c r="B3857" s="112" t="s">
        <v>11323</v>
      </c>
    </row>
    <row r="3858" spans="1:2" ht="15">
      <c r="A3858" s="113" t="s">
        <v>8163</v>
      </c>
      <c r="B3858" s="112" t="s">
        <v>11323</v>
      </c>
    </row>
    <row r="3859" spans="1:2" ht="15">
      <c r="A3859" s="113" t="s">
        <v>8164</v>
      </c>
      <c r="B3859" s="112" t="s">
        <v>11323</v>
      </c>
    </row>
    <row r="3860" spans="1:2" ht="15">
      <c r="A3860" s="113" t="s">
        <v>8165</v>
      </c>
      <c r="B3860" s="112" t="s">
        <v>11323</v>
      </c>
    </row>
    <row r="3861" spans="1:2" ht="15">
      <c r="A3861" s="113" t="s">
        <v>8166</v>
      </c>
      <c r="B3861" s="112" t="s">
        <v>11323</v>
      </c>
    </row>
    <row r="3862" spans="1:2" ht="15">
      <c r="A3862" s="113" t="s">
        <v>8167</v>
      </c>
      <c r="B3862" s="112" t="s">
        <v>11323</v>
      </c>
    </row>
    <row r="3863" spans="1:2" ht="15">
      <c r="A3863" s="113" t="s">
        <v>8168</v>
      </c>
      <c r="B3863" s="112" t="s">
        <v>11323</v>
      </c>
    </row>
    <row r="3864" spans="1:2" ht="15">
      <c r="A3864" s="113" t="s">
        <v>8169</v>
      </c>
      <c r="B3864" s="112" t="s">
        <v>11323</v>
      </c>
    </row>
    <row r="3865" spans="1:2" ht="15">
      <c r="A3865" s="113" t="s">
        <v>8170</v>
      </c>
      <c r="B3865" s="112" t="s">
        <v>11323</v>
      </c>
    </row>
    <row r="3866" spans="1:2" ht="15">
      <c r="A3866" s="113" t="s">
        <v>8171</v>
      </c>
      <c r="B3866" s="112" t="s">
        <v>11323</v>
      </c>
    </row>
    <row r="3867" spans="1:2" ht="15">
      <c r="A3867" s="113" t="s">
        <v>8172</v>
      </c>
      <c r="B3867" s="112" t="s">
        <v>11323</v>
      </c>
    </row>
    <row r="3868" spans="1:2" ht="15">
      <c r="A3868" s="113" t="s">
        <v>8173</v>
      </c>
      <c r="B3868" s="112" t="s">
        <v>11323</v>
      </c>
    </row>
    <row r="3869" spans="1:2" ht="15">
      <c r="A3869" s="113" t="s">
        <v>8174</v>
      </c>
      <c r="B3869" s="112" t="s">
        <v>11323</v>
      </c>
    </row>
    <row r="3870" spans="1:2" ht="15">
      <c r="A3870" s="113" t="s">
        <v>8175</v>
      </c>
      <c r="B3870" s="112" t="s">
        <v>11323</v>
      </c>
    </row>
    <row r="3871" spans="1:2" ht="15">
      <c r="A3871" s="113" t="s">
        <v>8176</v>
      </c>
      <c r="B3871" s="112" t="s">
        <v>11323</v>
      </c>
    </row>
    <row r="3872" spans="1:2" ht="15">
      <c r="A3872" s="113" t="s">
        <v>8177</v>
      </c>
      <c r="B3872" s="112" t="s">
        <v>11323</v>
      </c>
    </row>
    <row r="3873" spans="1:2" ht="15">
      <c r="A3873" s="113" t="s">
        <v>8178</v>
      </c>
      <c r="B3873" s="112" t="s">
        <v>11323</v>
      </c>
    </row>
    <row r="3874" spans="1:2" ht="15">
      <c r="A3874" s="113" t="s">
        <v>8179</v>
      </c>
      <c r="B3874" s="112" t="s">
        <v>11323</v>
      </c>
    </row>
    <row r="3875" spans="1:2" ht="15">
      <c r="A3875" s="113" t="s">
        <v>8180</v>
      </c>
      <c r="B3875" s="112" t="s">
        <v>11323</v>
      </c>
    </row>
    <row r="3876" spans="1:2" ht="15">
      <c r="A3876" s="113" t="s">
        <v>8181</v>
      </c>
      <c r="B3876" s="112" t="s">
        <v>11323</v>
      </c>
    </row>
    <row r="3877" spans="1:2" ht="15">
      <c r="A3877" s="113" t="s">
        <v>8182</v>
      </c>
      <c r="B3877" s="112" t="s">
        <v>11323</v>
      </c>
    </row>
    <row r="3878" spans="1:2" ht="15">
      <c r="A3878" s="113" t="s">
        <v>8183</v>
      </c>
      <c r="B3878" s="112" t="s">
        <v>11323</v>
      </c>
    </row>
    <row r="3879" spans="1:2" ht="15">
      <c r="A3879" s="113" t="s">
        <v>8184</v>
      </c>
      <c r="B3879" s="112" t="s">
        <v>11323</v>
      </c>
    </row>
    <row r="3880" spans="1:2" ht="15">
      <c r="A3880" s="113" t="s">
        <v>8185</v>
      </c>
      <c r="B3880" s="112" t="s">
        <v>11323</v>
      </c>
    </row>
    <row r="3881" spans="1:2" ht="15">
      <c r="A3881" s="113" t="s">
        <v>8186</v>
      </c>
      <c r="B3881" s="112" t="s">
        <v>11323</v>
      </c>
    </row>
    <row r="3882" spans="1:2" ht="15">
      <c r="A3882" s="113" t="s">
        <v>8187</v>
      </c>
      <c r="B3882" s="112" t="s">
        <v>11323</v>
      </c>
    </row>
    <row r="3883" spans="1:2" ht="15">
      <c r="A3883" s="113" t="s">
        <v>8188</v>
      </c>
      <c r="B3883" s="112" t="s">
        <v>11323</v>
      </c>
    </row>
    <row r="3884" spans="1:2" ht="15">
      <c r="A3884" s="113" t="s">
        <v>8189</v>
      </c>
      <c r="B3884" s="112" t="s">
        <v>11323</v>
      </c>
    </row>
    <row r="3885" spans="1:2" ht="15">
      <c r="A3885" s="113" t="s">
        <v>8190</v>
      </c>
      <c r="B3885" s="112" t="s">
        <v>11323</v>
      </c>
    </row>
    <row r="3886" spans="1:2" ht="15">
      <c r="A3886" s="113" t="s">
        <v>8191</v>
      </c>
      <c r="B3886" s="112" t="s">
        <v>11323</v>
      </c>
    </row>
    <row r="3887" spans="1:2" ht="15">
      <c r="A3887" s="113" t="s">
        <v>8192</v>
      </c>
      <c r="B3887" s="112" t="s">
        <v>11323</v>
      </c>
    </row>
    <row r="3888" spans="1:2" ht="15">
      <c r="A3888" s="113" t="s">
        <v>8193</v>
      </c>
      <c r="B3888" s="112" t="s">
        <v>11323</v>
      </c>
    </row>
    <row r="3889" spans="1:2" ht="15">
      <c r="A3889" s="113" t="s">
        <v>8194</v>
      </c>
      <c r="B3889" s="112" t="s">
        <v>11323</v>
      </c>
    </row>
    <row r="3890" spans="1:2" ht="15">
      <c r="A3890" s="113" t="s">
        <v>8195</v>
      </c>
      <c r="B3890" s="112" t="s">
        <v>11323</v>
      </c>
    </row>
    <row r="3891" spans="1:2" ht="15">
      <c r="A3891" s="113" t="s">
        <v>8196</v>
      </c>
      <c r="B3891" s="112" t="s">
        <v>11323</v>
      </c>
    </row>
    <row r="3892" spans="1:2" ht="15">
      <c r="A3892" s="113" t="s">
        <v>8197</v>
      </c>
      <c r="B3892" s="112" t="s">
        <v>11323</v>
      </c>
    </row>
    <row r="3893" spans="1:2" ht="15">
      <c r="A3893" s="113" t="s">
        <v>8198</v>
      </c>
      <c r="B3893" s="112" t="s">
        <v>11323</v>
      </c>
    </row>
    <row r="3894" spans="1:2" ht="15">
      <c r="A3894" s="113" t="s">
        <v>8199</v>
      </c>
      <c r="B3894" s="112" t="s">
        <v>11323</v>
      </c>
    </row>
    <row r="3895" spans="1:2" ht="15">
      <c r="A3895" s="113" t="s">
        <v>8200</v>
      </c>
      <c r="B3895" s="112" t="s">
        <v>11323</v>
      </c>
    </row>
    <row r="3896" spans="1:2" ht="15">
      <c r="A3896" s="113" t="s">
        <v>8201</v>
      </c>
      <c r="B3896" s="112" t="s">
        <v>11323</v>
      </c>
    </row>
    <row r="3897" spans="1:2" ht="15">
      <c r="A3897" s="113" t="s">
        <v>8202</v>
      </c>
      <c r="B3897" s="112" t="s">
        <v>11323</v>
      </c>
    </row>
    <row r="3898" spans="1:2" ht="15">
      <c r="A3898" s="113" t="s">
        <v>8203</v>
      </c>
      <c r="B3898" s="112" t="s">
        <v>11323</v>
      </c>
    </row>
    <row r="3899" spans="1:2" ht="15">
      <c r="A3899" s="113" t="s">
        <v>8204</v>
      </c>
      <c r="B3899" s="112" t="s">
        <v>11323</v>
      </c>
    </row>
    <row r="3900" spans="1:2" ht="15">
      <c r="A3900" s="113" t="s">
        <v>8205</v>
      </c>
      <c r="B3900" s="112" t="s">
        <v>11323</v>
      </c>
    </row>
    <row r="3901" spans="1:2" ht="15">
      <c r="A3901" s="113" t="s">
        <v>8206</v>
      </c>
      <c r="B3901" s="112" t="s">
        <v>11323</v>
      </c>
    </row>
    <row r="3902" spans="1:2" ht="15">
      <c r="A3902" s="113" t="s">
        <v>8207</v>
      </c>
      <c r="B3902" s="112" t="s">
        <v>11323</v>
      </c>
    </row>
    <row r="3903" spans="1:2" ht="15">
      <c r="A3903" s="113" t="s">
        <v>8208</v>
      </c>
      <c r="B3903" s="112" t="s">
        <v>11323</v>
      </c>
    </row>
    <row r="3904" spans="1:2" ht="15">
      <c r="A3904" s="113" t="s">
        <v>8209</v>
      </c>
      <c r="B3904" s="112" t="s">
        <v>11323</v>
      </c>
    </row>
    <row r="3905" spans="1:2" ht="15">
      <c r="A3905" s="113" t="s">
        <v>8210</v>
      </c>
      <c r="B3905" s="112" t="s">
        <v>11323</v>
      </c>
    </row>
    <row r="3906" spans="1:2" ht="15">
      <c r="A3906" s="113" t="s">
        <v>8211</v>
      </c>
      <c r="B3906" s="112" t="s">
        <v>11323</v>
      </c>
    </row>
    <row r="3907" spans="1:2" ht="15">
      <c r="A3907" s="113" t="s">
        <v>8212</v>
      </c>
      <c r="B3907" s="112" t="s">
        <v>11323</v>
      </c>
    </row>
    <row r="3908" spans="1:2" ht="15">
      <c r="A3908" s="113" t="s">
        <v>8213</v>
      </c>
      <c r="B3908" s="112" t="s">
        <v>11323</v>
      </c>
    </row>
    <row r="3909" spans="1:2" ht="15">
      <c r="A3909" s="113" t="s">
        <v>8214</v>
      </c>
      <c r="B3909" s="112" t="s">
        <v>11323</v>
      </c>
    </row>
    <row r="3910" spans="1:2" ht="15">
      <c r="A3910" s="113" t="s">
        <v>8215</v>
      </c>
      <c r="B3910" s="112" t="s">
        <v>11323</v>
      </c>
    </row>
    <row r="3911" spans="1:2" ht="15">
      <c r="A3911" s="113" t="s">
        <v>8216</v>
      </c>
      <c r="B3911" s="112" t="s">
        <v>11323</v>
      </c>
    </row>
    <row r="3912" spans="1:2" ht="15">
      <c r="A3912" s="113" t="s">
        <v>8217</v>
      </c>
      <c r="B3912" s="112" t="s">
        <v>11323</v>
      </c>
    </row>
    <row r="3913" spans="1:2" ht="15">
      <c r="A3913" s="113" t="s">
        <v>8218</v>
      </c>
      <c r="B3913" s="112" t="s">
        <v>11323</v>
      </c>
    </row>
    <row r="3914" spans="1:2" ht="15">
      <c r="A3914" s="113" t="s">
        <v>8219</v>
      </c>
      <c r="B3914" s="112" t="s">
        <v>11323</v>
      </c>
    </row>
    <row r="3915" spans="1:2" ht="15">
      <c r="A3915" s="113" t="s">
        <v>8220</v>
      </c>
      <c r="B3915" s="112" t="s">
        <v>11323</v>
      </c>
    </row>
    <row r="3916" spans="1:2" ht="15">
      <c r="A3916" s="113" t="s">
        <v>8221</v>
      </c>
      <c r="B3916" s="112" t="s">
        <v>11323</v>
      </c>
    </row>
    <row r="3917" spans="1:2" ht="15">
      <c r="A3917" s="113" t="s">
        <v>8222</v>
      </c>
      <c r="B3917" s="112" t="s">
        <v>11323</v>
      </c>
    </row>
    <row r="3918" spans="1:2" ht="15">
      <c r="A3918" s="113" t="s">
        <v>8223</v>
      </c>
      <c r="B3918" s="112" t="s">
        <v>11323</v>
      </c>
    </row>
    <row r="3919" spans="1:2" ht="15">
      <c r="A3919" s="113" t="s">
        <v>8224</v>
      </c>
      <c r="B3919" s="112" t="s">
        <v>11323</v>
      </c>
    </row>
    <row r="3920" spans="1:2" ht="15">
      <c r="A3920" s="113" t="s">
        <v>8225</v>
      </c>
      <c r="B3920" s="112" t="s">
        <v>11323</v>
      </c>
    </row>
    <row r="3921" spans="1:2" ht="15">
      <c r="A3921" s="113" t="s">
        <v>8226</v>
      </c>
      <c r="B3921" s="112" t="s">
        <v>11323</v>
      </c>
    </row>
    <row r="3922" spans="1:2" ht="15">
      <c r="A3922" s="113" t="s">
        <v>8227</v>
      </c>
      <c r="B3922" s="112" t="s">
        <v>11323</v>
      </c>
    </row>
    <row r="3923" spans="1:2" ht="15">
      <c r="A3923" s="113" t="s">
        <v>8228</v>
      </c>
      <c r="B3923" s="112" t="s">
        <v>11323</v>
      </c>
    </row>
    <row r="3924" spans="1:2" ht="15">
      <c r="A3924" s="113" t="s">
        <v>8229</v>
      </c>
      <c r="B3924" s="112" t="s">
        <v>11323</v>
      </c>
    </row>
    <row r="3925" spans="1:2" ht="15">
      <c r="A3925" s="113" t="s">
        <v>8230</v>
      </c>
      <c r="B3925" s="112" t="s">
        <v>11323</v>
      </c>
    </row>
    <row r="3926" spans="1:2" ht="15">
      <c r="A3926" s="113" t="s">
        <v>8231</v>
      </c>
      <c r="B3926" s="112" t="s">
        <v>11323</v>
      </c>
    </row>
    <row r="3927" spans="1:2" ht="15">
      <c r="A3927" s="113" t="s">
        <v>8232</v>
      </c>
      <c r="B3927" s="112" t="s">
        <v>11323</v>
      </c>
    </row>
    <row r="3928" spans="1:2" ht="15">
      <c r="A3928" s="113" t="s">
        <v>8233</v>
      </c>
      <c r="B3928" s="112" t="s">
        <v>11323</v>
      </c>
    </row>
    <row r="3929" spans="1:2" ht="15">
      <c r="A3929" s="113" t="s">
        <v>8234</v>
      </c>
      <c r="B3929" s="112" t="s">
        <v>11323</v>
      </c>
    </row>
    <row r="3930" spans="1:2" ht="15">
      <c r="A3930" s="113" t="s">
        <v>8235</v>
      </c>
      <c r="B3930" s="112" t="s">
        <v>11323</v>
      </c>
    </row>
    <row r="3931" spans="1:2" ht="15">
      <c r="A3931" s="113" t="s">
        <v>8236</v>
      </c>
      <c r="B3931" s="112" t="s">
        <v>11323</v>
      </c>
    </row>
    <row r="3932" spans="1:2" ht="15">
      <c r="A3932" s="113" t="s">
        <v>8237</v>
      </c>
      <c r="B3932" s="112" t="s">
        <v>11323</v>
      </c>
    </row>
    <row r="3933" spans="1:2" ht="15">
      <c r="A3933" s="113" t="s">
        <v>8238</v>
      </c>
      <c r="B3933" s="112" t="s">
        <v>11323</v>
      </c>
    </row>
    <row r="3934" spans="1:2" ht="15">
      <c r="A3934" s="113" t="s">
        <v>8239</v>
      </c>
      <c r="B3934" s="112" t="s">
        <v>11323</v>
      </c>
    </row>
    <row r="3935" spans="1:2" ht="15">
      <c r="A3935" s="113" t="s">
        <v>8240</v>
      </c>
      <c r="B3935" s="112" t="s">
        <v>11323</v>
      </c>
    </row>
    <row r="3936" spans="1:2" ht="15">
      <c r="A3936" s="113" t="s">
        <v>8241</v>
      </c>
      <c r="B3936" s="112" t="s">
        <v>11323</v>
      </c>
    </row>
    <row r="3937" spans="1:2" ht="15">
      <c r="A3937" s="113" t="s">
        <v>8242</v>
      </c>
      <c r="B3937" s="112" t="s">
        <v>11323</v>
      </c>
    </row>
    <row r="3938" spans="1:2" ht="15">
      <c r="A3938" s="113" t="s">
        <v>8243</v>
      </c>
      <c r="B3938" s="112" t="s">
        <v>11323</v>
      </c>
    </row>
    <row r="3939" spans="1:2" ht="15">
      <c r="A3939" s="113" t="s">
        <v>8244</v>
      </c>
      <c r="B3939" s="112" t="s">
        <v>11323</v>
      </c>
    </row>
    <row r="3940" spans="1:2" ht="15">
      <c r="A3940" s="113" t="s">
        <v>8245</v>
      </c>
      <c r="B3940" s="112" t="s">
        <v>11323</v>
      </c>
    </row>
    <row r="3941" spans="1:2" ht="15">
      <c r="A3941" s="113" t="s">
        <v>8246</v>
      </c>
      <c r="B3941" s="112" t="s">
        <v>11323</v>
      </c>
    </row>
    <row r="3942" spans="1:2" ht="15">
      <c r="A3942" s="113" t="s">
        <v>8247</v>
      </c>
      <c r="B3942" s="112" t="s">
        <v>11323</v>
      </c>
    </row>
    <row r="3943" spans="1:2" ht="15">
      <c r="A3943" s="113" t="s">
        <v>8248</v>
      </c>
      <c r="B3943" s="112" t="s">
        <v>11323</v>
      </c>
    </row>
    <row r="3944" spans="1:2" ht="15">
      <c r="A3944" s="113" t="s">
        <v>8249</v>
      </c>
      <c r="B3944" s="112" t="s">
        <v>11323</v>
      </c>
    </row>
    <row r="3945" spans="1:2" ht="15">
      <c r="A3945" s="113" t="s">
        <v>8250</v>
      </c>
      <c r="B3945" s="112" t="s">
        <v>11323</v>
      </c>
    </row>
    <row r="3946" spans="1:2" ht="15">
      <c r="A3946" s="113" t="s">
        <v>8251</v>
      </c>
      <c r="B3946" s="112" t="s">
        <v>11323</v>
      </c>
    </row>
    <row r="3947" spans="1:2" ht="15">
      <c r="A3947" s="113" t="s">
        <v>8252</v>
      </c>
      <c r="B3947" s="112" t="s">
        <v>11323</v>
      </c>
    </row>
    <row r="3948" spans="1:2" ht="15">
      <c r="A3948" s="113" t="s">
        <v>8253</v>
      </c>
      <c r="B3948" s="112" t="s">
        <v>11323</v>
      </c>
    </row>
    <row r="3949" spans="1:2" ht="15">
      <c r="A3949" s="113" t="s">
        <v>8254</v>
      </c>
      <c r="B3949" s="112" t="s">
        <v>11323</v>
      </c>
    </row>
    <row r="3950" spans="1:2" ht="15">
      <c r="A3950" s="113" t="s">
        <v>8255</v>
      </c>
      <c r="B3950" s="112" t="s">
        <v>11323</v>
      </c>
    </row>
    <row r="3951" spans="1:2" ht="15">
      <c r="A3951" s="113" t="s">
        <v>8256</v>
      </c>
      <c r="B3951" s="112" t="s">
        <v>11323</v>
      </c>
    </row>
    <row r="3952" spans="1:2" ht="15">
      <c r="A3952" s="113" t="s">
        <v>8257</v>
      </c>
      <c r="B3952" s="112" t="s">
        <v>11323</v>
      </c>
    </row>
    <row r="3953" spans="1:2" ht="15">
      <c r="A3953" s="113" t="s">
        <v>8258</v>
      </c>
      <c r="B3953" s="112" t="s">
        <v>11323</v>
      </c>
    </row>
    <row r="3954" spans="1:2" ht="15">
      <c r="A3954" s="113" t="s">
        <v>8259</v>
      </c>
      <c r="B3954" s="112" t="s">
        <v>11323</v>
      </c>
    </row>
    <row r="3955" spans="1:2" ht="15">
      <c r="A3955" s="113" t="s">
        <v>8260</v>
      </c>
      <c r="B3955" s="112" t="s">
        <v>11323</v>
      </c>
    </row>
    <row r="3956" spans="1:2" ht="15">
      <c r="A3956" s="113" t="s">
        <v>8261</v>
      </c>
      <c r="B3956" s="112" t="s">
        <v>11323</v>
      </c>
    </row>
    <row r="3957" spans="1:2" ht="15">
      <c r="A3957" s="113" t="s">
        <v>8262</v>
      </c>
      <c r="B3957" s="112" t="s">
        <v>11323</v>
      </c>
    </row>
    <row r="3958" spans="1:2" ht="15">
      <c r="A3958" s="113" t="s">
        <v>8263</v>
      </c>
      <c r="B3958" s="112" t="s">
        <v>11323</v>
      </c>
    </row>
    <row r="3959" spans="1:2" ht="15">
      <c r="A3959" s="113" t="s">
        <v>8264</v>
      </c>
      <c r="B3959" s="112" t="s">
        <v>11323</v>
      </c>
    </row>
    <row r="3960" spans="1:2" ht="15">
      <c r="A3960" s="113" t="s">
        <v>8265</v>
      </c>
      <c r="B3960" s="112" t="s">
        <v>11323</v>
      </c>
    </row>
    <row r="3961" spans="1:2" ht="15">
      <c r="A3961" s="113" t="s">
        <v>8266</v>
      </c>
      <c r="B3961" s="112" t="s">
        <v>11323</v>
      </c>
    </row>
    <row r="3962" spans="1:2" ht="15">
      <c r="A3962" s="113" t="s">
        <v>8267</v>
      </c>
      <c r="B3962" s="112" t="s">
        <v>11323</v>
      </c>
    </row>
    <row r="3963" spans="1:2" ht="15">
      <c r="A3963" s="113" t="s">
        <v>8268</v>
      </c>
      <c r="B3963" s="112" t="s">
        <v>11323</v>
      </c>
    </row>
    <row r="3964" spans="1:2" ht="15">
      <c r="A3964" s="113" t="s">
        <v>8269</v>
      </c>
      <c r="B3964" s="112" t="s">
        <v>11323</v>
      </c>
    </row>
    <row r="3965" spans="1:2" ht="15">
      <c r="A3965" s="113" t="s">
        <v>8270</v>
      </c>
      <c r="B3965" s="112" t="s">
        <v>11323</v>
      </c>
    </row>
    <row r="3966" spans="1:2" ht="15">
      <c r="A3966" s="113" t="s">
        <v>8271</v>
      </c>
      <c r="B3966" s="112" t="s">
        <v>11323</v>
      </c>
    </row>
    <row r="3967" spans="1:2" ht="15">
      <c r="A3967" s="113" t="s">
        <v>8272</v>
      </c>
      <c r="B3967" s="112" t="s">
        <v>11323</v>
      </c>
    </row>
    <row r="3968" spans="1:2" ht="15">
      <c r="A3968" s="113" t="s">
        <v>8273</v>
      </c>
      <c r="B3968" s="112" t="s">
        <v>11323</v>
      </c>
    </row>
    <row r="3969" spans="1:2" ht="15">
      <c r="A3969" s="113" t="s">
        <v>8274</v>
      </c>
      <c r="B3969" s="112" t="s">
        <v>11323</v>
      </c>
    </row>
    <row r="3970" spans="1:2" ht="15">
      <c r="A3970" s="113" t="s">
        <v>8275</v>
      </c>
      <c r="B3970" s="112" t="s">
        <v>11323</v>
      </c>
    </row>
    <row r="3971" spans="1:2" ht="15">
      <c r="A3971" s="113" t="s">
        <v>8276</v>
      </c>
      <c r="B3971" s="112" t="s">
        <v>11323</v>
      </c>
    </row>
    <row r="3972" spans="1:2" ht="15">
      <c r="A3972" s="113" t="s">
        <v>8277</v>
      </c>
      <c r="B3972" s="112" t="s">
        <v>11323</v>
      </c>
    </row>
    <row r="3973" spans="1:2" ht="15">
      <c r="A3973" s="113" t="s">
        <v>8278</v>
      </c>
      <c r="B3973" s="112" t="s">
        <v>11323</v>
      </c>
    </row>
    <row r="3974" spans="1:2" ht="15">
      <c r="A3974" s="113" t="s">
        <v>8279</v>
      </c>
      <c r="B3974" s="112" t="s">
        <v>11323</v>
      </c>
    </row>
    <row r="3975" spans="1:2" ht="15">
      <c r="A3975" s="113" t="s">
        <v>8280</v>
      </c>
      <c r="B3975" s="112" t="s">
        <v>11323</v>
      </c>
    </row>
    <row r="3976" spans="1:2" ht="15">
      <c r="A3976" s="113" t="s">
        <v>8281</v>
      </c>
      <c r="B3976" s="112" t="s">
        <v>11323</v>
      </c>
    </row>
    <row r="3977" spans="1:2" ht="15">
      <c r="A3977" s="113" t="s">
        <v>8282</v>
      </c>
      <c r="B3977" s="112" t="s">
        <v>11323</v>
      </c>
    </row>
    <row r="3978" spans="1:2" ht="15">
      <c r="A3978" s="113" t="s">
        <v>8283</v>
      </c>
      <c r="B3978" s="112" t="s">
        <v>11323</v>
      </c>
    </row>
    <row r="3979" spans="1:2" ht="15">
      <c r="A3979" s="113" t="s">
        <v>8284</v>
      </c>
      <c r="B3979" s="112" t="s">
        <v>11323</v>
      </c>
    </row>
    <row r="3980" spans="1:2" ht="15">
      <c r="A3980" s="113" t="s">
        <v>8285</v>
      </c>
      <c r="B3980" s="112" t="s">
        <v>11323</v>
      </c>
    </row>
    <row r="3981" spans="1:2" ht="15">
      <c r="A3981" s="113" t="s">
        <v>8286</v>
      </c>
      <c r="B3981" s="112" t="s">
        <v>11323</v>
      </c>
    </row>
    <row r="3982" spans="1:2" ht="15">
      <c r="A3982" s="113" t="s">
        <v>8287</v>
      </c>
      <c r="B3982" s="112" t="s">
        <v>11323</v>
      </c>
    </row>
    <row r="3983" spans="1:2" ht="15">
      <c r="A3983" s="113" t="s">
        <v>8288</v>
      </c>
      <c r="B3983" s="112" t="s">
        <v>11323</v>
      </c>
    </row>
    <row r="3984" spans="1:2" ht="15">
      <c r="A3984" s="113" t="s">
        <v>8289</v>
      </c>
      <c r="B3984" s="112" t="s">
        <v>11323</v>
      </c>
    </row>
    <row r="3985" spans="1:2" ht="15">
      <c r="A3985" s="113" t="s">
        <v>8290</v>
      </c>
      <c r="B3985" s="112" t="s">
        <v>11323</v>
      </c>
    </row>
    <row r="3986" spans="1:2" ht="15">
      <c r="A3986" s="113" t="s">
        <v>8291</v>
      </c>
      <c r="B3986" s="112" t="s">
        <v>11323</v>
      </c>
    </row>
    <row r="3987" spans="1:2" ht="15">
      <c r="A3987" s="113" t="s">
        <v>8292</v>
      </c>
      <c r="B3987" s="112" t="s">
        <v>11323</v>
      </c>
    </row>
    <row r="3988" spans="1:2" ht="15">
      <c r="A3988" s="113" t="s">
        <v>8293</v>
      </c>
      <c r="B3988" s="112" t="s">
        <v>11323</v>
      </c>
    </row>
    <row r="3989" spans="1:2" ht="15">
      <c r="A3989" s="113" t="s">
        <v>8294</v>
      </c>
      <c r="B3989" s="112" t="s">
        <v>11323</v>
      </c>
    </row>
    <row r="3990" spans="1:2" ht="15">
      <c r="A3990" s="113" t="s">
        <v>8295</v>
      </c>
      <c r="B3990" s="112" t="s">
        <v>11323</v>
      </c>
    </row>
    <row r="3991" spans="1:2" ht="15">
      <c r="A3991" s="113" t="s">
        <v>8296</v>
      </c>
      <c r="B3991" s="112" t="s">
        <v>11323</v>
      </c>
    </row>
    <row r="3992" spans="1:2" ht="15">
      <c r="A3992" s="113" t="s">
        <v>8297</v>
      </c>
      <c r="B3992" s="112" t="s">
        <v>11323</v>
      </c>
    </row>
    <row r="3993" spans="1:2" ht="15">
      <c r="A3993" s="113" t="s">
        <v>8298</v>
      </c>
      <c r="B3993" s="112" t="s">
        <v>11323</v>
      </c>
    </row>
    <row r="3994" spans="1:2" ht="15">
      <c r="A3994" s="113" t="s">
        <v>8299</v>
      </c>
      <c r="B3994" s="112" t="s">
        <v>11323</v>
      </c>
    </row>
    <row r="3995" spans="1:2" ht="15">
      <c r="A3995" s="113" t="s">
        <v>8300</v>
      </c>
      <c r="B3995" s="112" t="s">
        <v>11323</v>
      </c>
    </row>
    <row r="3996" spans="1:2" ht="15">
      <c r="A3996" s="113" t="s">
        <v>8301</v>
      </c>
      <c r="B3996" s="112" t="s">
        <v>11323</v>
      </c>
    </row>
    <row r="3997" spans="1:2" ht="15">
      <c r="A3997" s="113" t="s">
        <v>8302</v>
      </c>
      <c r="B3997" s="112" t="s">
        <v>11323</v>
      </c>
    </row>
    <row r="3998" spans="1:2" ht="15">
      <c r="A3998" s="113" t="s">
        <v>8303</v>
      </c>
      <c r="B3998" s="112" t="s">
        <v>11323</v>
      </c>
    </row>
    <row r="3999" spans="1:2" ht="15">
      <c r="A3999" s="113" t="s">
        <v>8304</v>
      </c>
      <c r="B3999" s="112" t="s">
        <v>11323</v>
      </c>
    </row>
    <row r="4000" spans="1:2" ht="15">
      <c r="A4000" s="113" t="s">
        <v>8305</v>
      </c>
      <c r="B4000" s="112" t="s">
        <v>11323</v>
      </c>
    </row>
    <row r="4001" spans="1:2" ht="15">
      <c r="A4001" s="113" t="s">
        <v>8306</v>
      </c>
      <c r="B4001" s="112" t="s">
        <v>11323</v>
      </c>
    </row>
    <row r="4002" spans="1:2" ht="15">
      <c r="A4002" s="113" t="s">
        <v>8307</v>
      </c>
      <c r="B4002" s="112" t="s">
        <v>11323</v>
      </c>
    </row>
    <row r="4003" spans="1:2" ht="15">
      <c r="A4003" s="113" t="s">
        <v>8308</v>
      </c>
      <c r="B4003" s="112" t="s">
        <v>11323</v>
      </c>
    </row>
    <row r="4004" spans="1:2" ht="15">
      <c r="A4004" s="113" t="s">
        <v>8309</v>
      </c>
      <c r="B4004" s="112" t="s">
        <v>11323</v>
      </c>
    </row>
    <row r="4005" spans="1:2" ht="15">
      <c r="A4005" s="113" t="s">
        <v>8310</v>
      </c>
      <c r="B4005" s="112" t="s">
        <v>11323</v>
      </c>
    </row>
    <row r="4006" spans="1:2" ht="15">
      <c r="A4006" s="113" t="s">
        <v>8311</v>
      </c>
      <c r="B4006" s="112" t="s">
        <v>11323</v>
      </c>
    </row>
    <row r="4007" spans="1:2" ht="15">
      <c r="A4007" s="113" t="s">
        <v>8312</v>
      </c>
      <c r="B4007" s="112" t="s">
        <v>11323</v>
      </c>
    </row>
    <row r="4008" spans="1:2" ht="15">
      <c r="A4008" s="113" t="s">
        <v>8313</v>
      </c>
      <c r="B4008" s="112" t="s">
        <v>11323</v>
      </c>
    </row>
    <row r="4009" spans="1:2" ht="15">
      <c r="A4009" s="113" t="s">
        <v>8314</v>
      </c>
      <c r="B4009" s="112" t="s">
        <v>11323</v>
      </c>
    </row>
    <row r="4010" spans="1:2" ht="15">
      <c r="A4010" s="113" t="s">
        <v>8315</v>
      </c>
      <c r="B4010" s="112" t="s">
        <v>11323</v>
      </c>
    </row>
    <row r="4011" spans="1:2" ht="15">
      <c r="A4011" s="113" t="s">
        <v>8316</v>
      </c>
      <c r="B4011" s="112" t="s">
        <v>11323</v>
      </c>
    </row>
    <row r="4012" spans="1:2" ht="15">
      <c r="A4012" s="113" t="s">
        <v>8317</v>
      </c>
      <c r="B4012" s="112" t="s">
        <v>11323</v>
      </c>
    </row>
    <row r="4013" spans="1:2" ht="15">
      <c r="A4013" s="113" t="s">
        <v>8318</v>
      </c>
      <c r="B4013" s="112" t="s">
        <v>11323</v>
      </c>
    </row>
    <row r="4014" spans="1:2" ht="15">
      <c r="A4014" s="113" t="s">
        <v>8319</v>
      </c>
      <c r="B4014" s="112" t="s">
        <v>11323</v>
      </c>
    </row>
    <row r="4015" spans="1:2" ht="15">
      <c r="A4015" s="113" t="s">
        <v>8320</v>
      </c>
      <c r="B4015" s="112" t="s">
        <v>11323</v>
      </c>
    </row>
    <row r="4016" spans="1:2" ht="15">
      <c r="A4016" s="113" t="s">
        <v>8321</v>
      </c>
      <c r="B4016" s="112" t="s">
        <v>11323</v>
      </c>
    </row>
    <row r="4017" spans="1:2" ht="15">
      <c r="A4017" s="113" t="s">
        <v>8322</v>
      </c>
      <c r="B4017" s="112" t="s">
        <v>11323</v>
      </c>
    </row>
    <row r="4018" spans="1:2" ht="15">
      <c r="A4018" s="113" t="s">
        <v>8323</v>
      </c>
      <c r="B4018" s="112" t="s">
        <v>11323</v>
      </c>
    </row>
    <row r="4019" spans="1:2" ht="15">
      <c r="A4019" s="113" t="s">
        <v>8324</v>
      </c>
      <c r="B4019" s="112" t="s">
        <v>11323</v>
      </c>
    </row>
    <row r="4020" spans="1:2" ht="15">
      <c r="A4020" s="113" t="s">
        <v>8325</v>
      </c>
      <c r="B4020" s="112" t="s">
        <v>11323</v>
      </c>
    </row>
    <row r="4021" spans="1:2" ht="15">
      <c r="A4021" s="113" t="s">
        <v>8326</v>
      </c>
      <c r="B4021" s="112" t="s">
        <v>11323</v>
      </c>
    </row>
    <row r="4022" spans="1:2" ht="15">
      <c r="A4022" s="113" t="s">
        <v>8327</v>
      </c>
      <c r="B4022" s="112" t="s">
        <v>11323</v>
      </c>
    </row>
    <row r="4023" spans="1:2" ht="15">
      <c r="A4023" s="113" t="s">
        <v>8328</v>
      </c>
      <c r="B4023" s="112" t="s">
        <v>11323</v>
      </c>
    </row>
    <row r="4024" spans="1:2" ht="15">
      <c r="A4024" s="113" t="s">
        <v>8329</v>
      </c>
      <c r="B4024" s="112" t="s">
        <v>11323</v>
      </c>
    </row>
    <row r="4025" spans="1:2" ht="15">
      <c r="A4025" s="113" t="s">
        <v>8330</v>
      </c>
      <c r="B4025" s="112" t="s">
        <v>11323</v>
      </c>
    </row>
    <row r="4026" spans="1:2" ht="15">
      <c r="A4026" s="113" t="s">
        <v>8331</v>
      </c>
      <c r="B4026" s="112" t="s">
        <v>11323</v>
      </c>
    </row>
    <row r="4027" spans="1:2" ht="15">
      <c r="A4027" s="113" t="s">
        <v>8332</v>
      </c>
      <c r="B4027" s="112" t="s">
        <v>11323</v>
      </c>
    </row>
    <row r="4028" spans="1:2" ht="15">
      <c r="A4028" s="113" t="s">
        <v>8333</v>
      </c>
      <c r="B4028" s="112" t="s">
        <v>11323</v>
      </c>
    </row>
    <row r="4029" spans="1:2" ht="15">
      <c r="A4029" s="113" t="s">
        <v>8334</v>
      </c>
      <c r="B4029" s="112" t="s">
        <v>11323</v>
      </c>
    </row>
    <row r="4030" spans="1:2" ht="15">
      <c r="A4030" s="113" t="s">
        <v>8335</v>
      </c>
      <c r="B4030" s="112" t="s">
        <v>11323</v>
      </c>
    </row>
    <row r="4031" spans="1:2" ht="15">
      <c r="A4031" s="113" t="s">
        <v>8336</v>
      </c>
      <c r="B4031" s="112" t="s">
        <v>11323</v>
      </c>
    </row>
    <row r="4032" spans="1:2" ht="15">
      <c r="A4032" s="113" t="s">
        <v>8337</v>
      </c>
      <c r="B4032" s="112" t="s">
        <v>11323</v>
      </c>
    </row>
    <row r="4033" spans="1:2" ht="15">
      <c r="A4033" s="113" t="s">
        <v>8338</v>
      </c>
      <c r="B4033" s="112" t="s">
        <v>11323</v>
      </c>
    </row>
    <row r="4034" spans="1:2" ht="15">
      <c r="A4034" s="113" t="s">
        <v>8339</v>
      </c>
      <c r="B4034" s="112" t="s">
        <v>11323</v>
      </c>
    </row>
    <row r="4035" spans="1:2" ht="15">
      <c r="A4035" s="113" t="s">
        <v>8340</v>
      </c>
      <c r="B4035" s="112" t="s">
        <v>11323</v>
      </c>
    </row>
    <row r="4036" spans="1:2" ht="15">
      <c r="A4036" s="113" t="s">
        <v>8341</v>
      </c>
      <c r="B4036" s="112" t="s">
        <v>11323</v>
      </c>
    </row>
    <row r="4037" spans="1:2" ht="15">
      <c r="A4037" s="113" t="s">
        <v>8342</v>
      </c>
      <c r="B4037" s="112" t="s">
        <v>11323</v>
      </c>
    </row>
    <row r="4038" spans="1:2" ht="15">
      <c r="A4038" s="113" t="s">
        <v>8343</v>
      </c>
      <c r="B4038" s="112" t="s">
        <v>11323</v>
      </c>
    </row>
    <row r="4039" spans="1:2" ht="15">
      <c r="A4039" s="113" t="s">
        <v>8344</v>
      </c>
      <c r="B4039" s="112" t="s">
        <v>11323</v>
      </c>
    </row>
    <row r="4040" spans="1:2" ht="15">
      <c r="A4040" s="113" t="s">
        <v>8345</v>
      </c>
      <c r="B4040" s="112" t="s">
        <v>11323</v>
      </c>
    </row>
    <row r="4041" spans="1:2" ht="15">
      <c r="A4041" s="113" t="s">
        <v>8346</v>
      </c>
      <c r="B4041" s="112" t="s">
        <v>11323</v>
      </c>
    </row>
    <row r="4042" spans="1:2" ht="15">
      <c r="A4042" s="113" t="s">
        <v>8347</v>
      </c>
      <c r="B4042" s="112" t="s">
        <v>11323</v>
      </c>
    </row>
    <row r="4043" spans="1:2" ht="15">
      <c r="A4043" s="113" t="s">
        <v>8348</v>
      </c>
      <c r="B4043" s="112" t="s">
        <v>11323</v>
      </c>
    </row>
    <row r="4044" spans="1:2" ht="15">
      <c r="A4044" s="113" t="s">
        <v>8349</v>
      </c>
      <c r="B4044" s="112" t="s">
        <v>11323</v>
      </c>
    </row>
    <row r="4045" spans="1:2" ht="15">
      <c r="A4045" s="113" t="s">
        <v>8350</v>
      </c>
      <c r="B4045" s="112" t="s">
        <v>11323</v>
      </c>
    </row>
    <row r="4046" spans="1:2" ht="15">
      <c r="A4046" s="113" t="s">
        <v>8351</v>
      </c>
      <c r="B4046" s="112" t="s">
        <v>11323</v>
      </c>
    </row>
    <row r="4047" spans="1:2" ht="15">
      <c r="A4047" s="113" t="s">
        <v>8352</v>
      </c>
      <c r="B4047" s="112" t="s">
        <v>11323</v>
      </c>
    </row>
    <row r="4048" spans="1:2" ht="15">
      <c r="A4048" s="113" t="s">
        <v>8353</v>
      </c>
      <c r="B4048" s="112" t="s">
        <v>11323</v>
      </c>
    </row>
    <row r="4049" spans="1:2" ht="15">
      <c r="A4049" s="113" t="s">
        <v>8354</v>
      </c>
      <c r="B4049" s="112" t="s">
        <v>11323</v>
      </c>
    </row>
    <row r="4050" spans="1:2" ht="15">
      <c r="A4050" s="113" t="s">
        <v>8355</v>
      </c>
      <c r="B4050" s="112" t="s">
        <v>11323</v>
      </c>
    </row>
    <row r="4051" spans="1:2" ht="15">
      <c r="A4051" s="113" t="s">
        <v>8356</v>
      </c>
      <c r="B4051" s="112" t="s">
        <v>11323</v>
      </c>
    </row>
    <row r="4052" spans="1:2" ht="15">
      <c r="A4052" s="113" t="s">
        <v>8357</v>
      </c>
      <c r="B4052" s="112" t="s">
        <v>11323</v>
      </c>
    </row>
    <row r="4053" spans="1:2" ht="15">
      <c r="A4053" s="113" t="s">
        <v>8358</v>
      </c>
      <c r="B4053" s="112" t="s">
        <v>11323</v>
      </c>
    </row>
    <row r="4054" spans="1:2" ht="15">
      <c r="A4054" s="113" t="s">
        <v>8359</v>
      </c>
      <c r="B4054" s="112" t="s">
        <v>11323</v>
      </c>
    </row>
    <row r="4055" spans="1:2" ht="15">
      <c r="A4055" s="113" t="s">
        <v>8360</v>
      </c>
      <c r="B4055" s="112" t="s">
        <v>11323</v>
      </c>
    </row>
    <row r="4056" spans="1:2" ht="15">
      <c r="A4056" s="113" t="s">
        <v>8361</v>
      </c>
      <c r="B4056" s="112" t="s">
        <v>11323</v>
      </c>
    </row>
    <row r="4057" spans="1:2" ht="15">
      <c r="A4057" s="113" t="s">
        <v>8362</v>
      </c>
      <c r="B4057" s="112" t="s">
        <v>11323</v>
      </c>
    </row>
    <row r="4058" spans="1:2" ht="15">
      <c r="A4058" s="113" t="s">
        <v>8363</v>
      </c>
      <c r="B4058" s="112" t="s">
        <v>11323</v>
      </c>
    </row>
    <row r="4059" spans="1:2" ht="15">
      <c r="A4059" s="113" t="s">
        <v>8364</v>
      </c>
      <c r="B4059" s="112" t="s">
        <v>11323</v>
      </c>
    </row>
    <row r="4060" spans="1:2" ht="15">
      <c r="A4060" s="113" t="s">
        <v>8365</v>
      </c>
      <c r="B4060" s="112" t="s">
        <v>11323</v>
      </c>
    </row>
    <row r="4061" spans="1:2" ht="15">
      <c r="A4061" s="113" t="s">
        <v>8366</v>
      </c>
      <c r="B4061" s="112" t="s">
        <v>11323</v>
      </c>
    </row>
    <row r="4062" spans="1:2" ht="15">
      <c r="A4062" s="113" t="s">
        <v>8367</v>
      </c>
      <c r="B4062" s="112" t="s">
        <v>11323</v>
      </c>
    </row>
    <row r="4063" spans="1:2" ht="15">
      <c r="A4063" s="113" t="s">
        <v>8368</v>
      </c>
      <c r="B4063" s="112" t="s">
        <v>11323</v>
      </c>
    </row>
    <row r="4064" spans="1:2" ht="15">
      <c r="A4064" s="113" t="s">
        <v>8369</v>
      </c>
      <c r="B4064" s="112" t="s">
        <v>11323</v>
      </c>
    </row>
    <row r="4065" spans="1:2" ht="15">
      <c r="A4065" s="113" t="s">
        <v>8370</v>
      </c>
      <c r="B4065" s="112" t="s">
        <v>11323</v>
      </c>
    </row>
    <row r="4066" spans="1:2" ht="15">
      <c r="A4066" s="113" t="s">
        <v>8371</v>
      </c>
      <c r="B4066" s="112" t="s">
        <v>11323</v>
      </c>
    </row>
    <row r="4067" spans="1:2" ht="15">
      <c r="A4067" s="113" t="s">
        <v>8372</v>
      </c>
      <c r="B4067" s="112" t="s">
        <v>11323</v>
      </c>
    </row>
    <row r="4068" spans="1:2" ht="15">
      <c r="A4068" s="113" t="s">
        <v>8373</v>
      </c>
      <c r="B4068" s="112" t="s">
        <v>11323</v>
      </c>
    </row>
    <row r="4069" spans="1:2" ht="15">
      <c r="A4069" s="113" t="s">
        <v>8374</v>
      </c>
      <c r="B4069" s="112" t="s">
        <v>11323</v>
      </c>
    </row>
    <row r="4070" spans="1:2" ht="15">
      <c r="A4070" s="113" t="s">
        <v>8375</v>
      </c>
      <c r="B4070" s="112" t="s">
        <v>11323</v>
      </c>
    </row>
    <row r="4071" spans="1:2" ht="15">
      <c r="A4071" s="113" t="s">
        <v>8376</v>
      </c>
      <c r="B4071" s="112" t="s">
        <v>11323</v>
      </c>
    </row>
    <row r="4072" spans="1:2" ht="15">
      <c r="A4072" s="113" t="s">
        <v>8377</v>
      </c>
      <c r="B4072" s="112" t="s">
        <v>11323</v>
      </c>
    </row>
    <row r="4073" spans="1:2" ht="15">
      <c r="A4073" s="113" t="s">
        <v>8378</v>
      </c>
      <c r="B4073" s="112" t="s">
        <v>11323</v>
      </c>
    </row>
    <row r="4074" spans="1:2" ht="15">
      <c r="A4074" s="113" t="s">
        <v>8379</v>
      </c>
      <c r="B4074" s="112" t="s">
        <v>11323</v>
      </c>
    </row>
    <row r="4075" spans="1:2" ht="15">
      <c r="A4075" s="113" t="s">
        <v>8380</v>
      </c>
      <c r="B4075" s="112" t="s">
        <v>11323</v>
      </c>
    </row>
    <row r="4076" spans="1:2" ht="15">
      <c r="A4076" s="113" t="s">
        <v>8381</v>
      </c>
      <c r="B4076" s="112" t="s">
        <v>11323</v>
      </c>
    </row>
    <row r="4077" spans="1:2" ht="15">
      <c r="A4077" s="113" t="s">
        <v>8382</v>
      </c>
      <c r="B4077" s="112" t="s">
        <v>11323</v>
      </c>
    </row>
    <row r="4078" spans="1:2" ht="15">
      <c r="A4078" s="113" t="s">
        <v>8383</v>
      </c>
      <c r="B4078" s="112" t="s">
        <v>11323</v>
      </c>
    </row>
    <row r="4079" spans="1:2" ht="15">
      <c r="A4079" s="113" t="s">
        <v>8384</v>
      </c>
      <c r="B4079" s="112" t="s">
        <v>11323</v>
      </c>
    </row>
    <row r="4080" spans="1:2" ht="15">
      <c r="A4080" s="113" t="s">
        <v>8385</v>
      </c>
      <c r="B4080" s="112" t="s">
        <v>11323</v>
      </c>
    </row>
    <row r="4081" spans="1:2" ht="15">
      <c r="A4081" s="113" t="s">
        <v>8386</v>
      </c>
      <c r="B4081" s="112" t="s">
        <v>11323</v>
      </c>
    </row>
    <row r="4082" spans="1:2" ht="15">
      <c r="A4082" s="113" t="s">
        <v>8387</v>
      </c>
      <c r="B4082" s="112" t="s">
        <v>11323</v>
      </c>
    </row>
    <row r="4083" spans="1:2" ht="15">
      <c r="A4083" s="113" t="s">
        <v>8388</v>
      </c>
      <c r="B4083" s="112" t="s">
        <v>11323</v>
      </c>
    </row>
    <row r="4084" spans="1:2" ht="15">
      <c r="A4084" s="113" t="s">
        <v>8389</v>
      </c>
      <c r="B4084" s="112" t="s">
        <v>11323</v>
      </c>
    </row>
    <row r="4085" spans="1:2" ht="15">
      <c r="A4085" s="113" t="s">
        <v>8390</v>
      </c>
      <c r="B4085" s="112" t="s">
        <v>11323</v>
      </c>
    </row>
    <row r="4086" spans="1:2" ht="15">
      <c r="A4086" s="113" t="s">
        <v>8391</v>
      </c>
      <c r="B4086" s="112" t="s">
        <v>11323</v>
      </c>
    </row>
    <row r="4087" spans="1:2" ht="15">
      <c r="A4087" s="113" t="s">
        <v>8392</v>
      </c>
      <c r="B4087" s="112" t="s">
        <v>11323</v>
      </c>
    </row>
    <row r="4088" spans="1:2" ht="15">
      <c r="A4088" s="113" t="s">
        <v>8393</v>
      </c>
      <c r="B4088" s="112" t="s">
        <v>11323</v>
      </c>
    </row>
    <row r="4089" spans="1:2" ht="15">
      <c r="A4089" s="113" t="s">
        <v>8394</v>
      </c>
      <c r="B4089" s="112" t="s">
        <v>11323</v>
      </c>
    </row>
    <row r="4090" spans="1:2" ht="15">
      <c r="A4090" s="113" t="s">
        <v>8395</v>
      </c>
      <c r="B4090" s="112" t="s">
        <v>11323</v>
      </c>
    </row>
    <row r="4091" spans="1:2" ht="15">
      <c r="A4091" s="113" t="s">
        <v>8396</v>
      </c>
      <c r="B4091" s="112" t="s">
        <v>11323</v>
      </c>
    </row>
    <row r="4092" spans="1:2" ht="15">
      <c r="A4092" s="113" t="s">
        <v>8397</v>
      </c>
      <c r="B4092" s="112" t="s">
        <v>11323</v>
      </c>
    </row>
    <row r="4093" spans="1:2" ht="15">
      <c r="A4093" s="113" t="s">
        <v>8398</v>
      </c>
      <c r="B4093" s="112" t="s">
        <v>11323</v>
      </c>
    </row>
    <row r="4094" spans="1:2" ht="15">
      <c r="A4094" s="113" t="s">
        <v>8399</v>
      </c>
      <c r="B4094" s="112" t="s">
        <v>11323</v>
      </c>
    </row>
    <row r="4095" spans="1:2" ht="15">
      <c r="A4095" s="113" t="s">
        <v>8400</v>
      </c>
      <c r="B4095" s="112" t="s">
        <v>11323</v>
      </c>
    </row>
    <row r="4096" spans="1:2" ht="15">
      <c r="A4096" s="113" t="s">
        <v>8401</v>
      </c>
      <c r="B4096" s="112" t="s">
        <v>11323</v>
      </c>
    </row>
    <row r="4097" spans="1:2" ht="15">
      <c r="A4097" s="113" t="s">
        <v>8402</v>
      </c>
      <c r="B4097" s="112" t="s">
        <v>11323</v>
      </c>
    </row>
    <row r="4098" spans="1:2" ht="15">
      <c r="A4098" s="113" t="s">
        <v>8403</v>
      </c>
      <c r="B4098" s="112" t="s">
        <v>11323</v>
      </c>
    </row>
    <row r="4099" spans="1:2" ht="15">
      <c r="A4099" s="113" t="s">
        <v>8404</v>
      </c>
      <c r="B4099" s="112" t="s">
        <v>11323</v>
      </c>
    </row>
    <row r="4100" spans="1:2" ht="15">
      <c r="A4100" s="113" t="s">
        <v>8405</v>
      </c>
      <c r="B4100" s="112" t="s">
        <v>11323</v>
      </c>
    </row>
    <row r="4101" spans="1:2" ht="15">
      <c r="A4101" s="113" t="s">
        <v>8406</v>
      </c>
      <c r="B4101" s="112" t="s">
        <v>11323</v>
      </c>
    </row>
    <row r="4102" spans="1:2" ht="15">
      <c r="A4102" s="113" t="s">
        <v>8407</v>
      </c>
      <c r="B4102" s="112" t="s">
        <v>11323</v>
      </c>
    </row>
    <row r="4103" spans="1:2" ht="15">
      <c r="A4103" s="113" t="s">
        <v>8408</v>
      </c>
      <c r="B4103" s="112" t="s">
        <v>11323</v>
      </c>
    </row>
    <row r="4104" spans="1:2" ht="15">
      <c r="A4104" s="113" t="s">
        <v>8409</v>
      </c>
      <c r="B4104" s="112" t="s">
        <v>11323</v>
      </c>
    </row>
    <row r="4105" spans="1:2" ht="15">
      <c r="A4105" s="113" t="s">
        <v>8410</v>
      </c>
      <c r="B4105" s="112" t="s">
        <v>11323</v>
      </c>
    </row>
    <row r="4106" spans="1:2" ht="15">
      <c r="A4106" s="113" t="s">
        <v>8411</v>
      </c>
      <c r="B4106" s="112" t="s">
        <v>11323</v>
      </c>
    </row>
    <row r="4107" spans="1:2" ht="15">
      <c r="A4107" s="113" t="s">
        <v>8412</v>
      </c>
      <c r="B4107" s="112" t="s">
        <v>11323</v>
      </c>
    </row>
    <row r="4108" spans="1:2" ht="15">
      <c r="A4108" s="113" t="s">
        <v>8413</v>
      </c>
      <c r="B4108" s="112" t="s">
        <v>11323</v>
      </c>
    </row>
    <row r="4109" spans="1:2" ht="15">
      <c r="A4109" s="113" t="s">
        <v>8414</v>
      </c>
      <c r="B4109" s="112" t="s">
        <v>11323</v>
      </c>
    </row>
    <row r="4110" spans="1:2" ht="15">
      <c r="A4110" s="113" t="s">
        <v>8415</v>
      </c>
      <c r="B4110" s="112" t="s">
        <v>11323</v>
      </c>
    </row>
    <row r="4111" spans="1:2" ht="15">
      <c r="A4111" s="113" t="s">
        <v>8416</v>
      </c>
      <c r="B4111" s="112" t="s">
        <v>11323</v>
      </c>
    </row>
    <row r="4112" spans="1:2" ht="15">
      <c r="A4112" s="113" t="s">
        <v>8417</v>
      </c>
      <c r="B4112" s="112" t="s">
        <v>11323</v>
      </c>
    </row>
    <row r="4113" spans="1:2" ht="15">
      <c r="A4113" s="113" t="s">
        <v>8418</v>
      </c>
      <c r="B4113" s="112" t="s">
        <v>11323</v>
      </c>
    </row>
    <row r="4114" spans="1:2" ht="15">
      <c r="A4114" s="113" t="s">
        <v>8419</v>
      </c>
      <c r="B4114" s="112" t="s">
        <v>11323</v>
      </c>
    </row>
    <row r="4115" spans="1:2" ht="15">
      <c r="A4115" s="113" t="s">
        <v>8420</v>
      </c>
      <c r="B4115" s="112" t="s">
        <v>11323</v>
      </c>
    </row>
    <row r="4116" spans="1:2" ht="15">
      <c r="A4116" s="113" t="s">
        <v>8421</v>
      </c>
      <c r="B4116" s="112" t="s">
        <v>11323</v>
      </c>
    </row>
    <row r="4117" spans="1:2" ht="15">
      <c r="A4117" s="113" t="s">
        <v>8422</v>
      </c>
      <c r="B4117" s="112" t="s">
        <v>11323</v>
      </c>
    </row>
    <row r="4118" spans="1:2" ht="15">
      <c r="A4118" s="113" t="s">
        <v>8423</v>
      </c>
      <c r="B4118" s="112" t="s">
        <v>11323</v>
      </c>
    </row>
    <row r="4119" spans="1:2" ht="15">
      <c r="A4119" s="113" t="s">
        <v>8424</v>
      </c>
      <c r="B4119" s="112" t="s">
        <v>11323</v>
      </c>
    </row>
    <row r="4120" spans="1:2" ht="15">
      <c r="A4120" s="113" t="s">
        <v>8425</v>
      </c>
      <c r="B4120" s="112" t="s">
        <v>11323</v>
      </c>
    </row>
    <row r="4121" spans="1:2" ht="15">
      <c r="A4121" s="113" t="s">
        <v>8426</v>
      </c>
      <c r="B4121" s="112" t="s">
        <v>11323</v>
      </c>
    </row>
    <row r="4122" spans="1:2" ht="15">
      <c r="A4122" s="113" t="s">
        <v>8427</v>
      </c>
      <c r="B4122" s="112" t="s">
        <v>11323</v>
      </c>
    </row>
    <row r="4123" spans="1:2" ht="15">
      <c r="A4123" s="113" t="s">
        <v>8428</v>
      </c>
      <c r="B4123" s="112" t="s">
        <v>11323</v>
      </c>
    </row>
    <row r="4124" spans="1:2" ht="15">
      <c r="A4124" s="113" t="s">
        <v>8429</v>
      </c>
      <c r="B4124" s="112" t="s">
        <v>11323</v>
      </c>
    </row>
    <row r="4125" spans="1:2" ht="15">
      <c r="A4125" s="113" t="s">
        <v>8430</v>
      </c>
      <c r="B4125" s="112" t="s">
        <v>11323</v>
      </c>
    </row>
    <row r="4126" spans="1:2" ht="15">
      <c r="A4126" s="113" t="s">
        <v>8431</v>
      </c>
      <c r="B4126" s="112" t="s">
        <v>11323</v>
      </c>
    </row>
    <row r="4127" spans="1:2" ht="15">
      <c r="A4127" s="113" t="s">
        <v>8432</v>
      </c>
      <c r="B4127" s="112" t="s">
        <v>11323</v>
      </c>
    </row>
    <row r="4128" spans="1:2" ht="15">
      <c r="A4128" s="113" t="s">
        <v>8433</v>
      </c>
      <c r="B4128" s="112" t="s">
        <v>11323</v>
      </c>
    </row>
    <row r="4129" spans="1:2" ht="15">
      <c r="A4129" s="113" t="s">
        <v>8434</v>
      </c>
      <c r="B4129" s="112" t="s">
        <v>11323</v>
      </c>
    </row>
    <row r="4130" spans="1:2" ht="15">
      <c r="A4130" s="113" t="s">
        <v>8435</v>
      </c>
      <c r="B4130" s="112" t="s">
        <v>11323</v>
      </c>
    </row>
    <row r="4131" spans="1:2" ht="15">
      <c r="A4131" s="113" t="s">
        <v>8436</v>
      </c>
      <c r="B4131" s="112" t="s">
        <v>11323</v>
      </c>
    </row>
    <row r="4132" spans="1:2" ht="15">
      <c r="A4132" s="113" t="s">
        <v>8437</v>
      </c>
      <c r="B4132" s="112" t="s">
        <v>11323</v>
      </c>
    </row>
    <row r="4133" spans="1:2" ht="15">
      <c r="A4133" s="113" t="s">
        <v>8438</v>
      </c>
      <c r="B4133" s="112" t="s">
        <v>11323</v>
      </c>
    </row>
    <row r="4134" spans="1:2" ht="15">
      <c r="A4134" s="113" t="s">
        <v>8439</v>
      </c>
      <c r="B4134" s="112" t="s">
        <v>11323</v>
      </c>
    </row>
    <row r="4135" spans="1:2" ht="15">
      <c r="A4135" s="113" t="s">
        <v>8440</v>
      </c>
      <c r="B4135" s="112" t="s">
        <v>11323</v>
      </c>
    </row>
    <row r="4136" spans="1:2" ht="15">
      <c r="A4136" s="113" t="s">
        <v>8441</v>
      </c>
      <c r="B4136" s="112" t="s">
        <v>11323</v>
      </c>
    </row>
    <row r="4137" spans="1:2" ht="15">
      <c r="A4137" s="113" t="s">
        <v>8442</v>
      </c>
      <c r="B4137" s="112" t="s">
        <v>11323</v>
      </c>
    </row>
    <row r="4138" spans="1:2" ht="15">
      <c r="A4138" s="113" t="s">
        <v>8443</v>
      </c>
      <c r="B4138" s="112" t="s">
        <v>11323</v>
      </c>
    </row>
    <row r="4139" spans="1:2" ht="15">
      <c r="A4139" s="113" t="s">
        <v>8444</v>
      </c>
      <c r="B4139" s="112" t="s">
        <v>11323</v>
      </c>
    </row>
    <row r="4140" spans="1:2" ht="15">
      <c r="A4140" s="113" t="s">
        <v>8445</v>
      </c>
      <c r="B4140" s="112" t="s">
        <v>11323</v>
      </c>
    </row>
    <row r="4141" spans="1:2" ht="15">
      <c r="A4141" s="113" t="s">
        <v>8446</v>
      </c>
      <c r="B4141" s="112" t="s">
        <v>11323</v>
      </c>
    </row>
    <row r="4142" spans="1:2" ht="15">
      <c r="A4142" s="113" t="s">
        <v>8447</v>
      </c>
      <c r="B4142" s="112" t="s">
        <v>11323</v>
      </c>
    </row>
    <row r="4143" spans="1:2" ht="15">
      <c r="A4143" s="113" t="s">
        <v>8448</v>
      </c>
      <c r="B4143" s="112" t="s">
        <v>11323</v>
      </c>
    </row>
    <row r="4144" spans="1:2" ht="15">
      <c r="A4144" s="113" t="s">
        <v>8449</v>
      </c>
      <c r="B4144" s="112" t="s">
        <v>11323</v>
      </c>
    </row>
    <row r="4145" spans="1:2" ht="15">
      <c r="A4145" s="113" t="s">
        <v>8450</v>
      </c>
      <c r="B4145" s="112" t="s">
        <v>11323</v>
      </c>
    </row>
    <row r="4146" spans="1:2" ht="15">
      <c r="A4146" s="113" t="s">
        <v>8451</v>
      </c>
      <c r="B4146" s="112" t="s">
        <v>11323</v>
      </c>
    </row>
    <row r="4147" spans="1:2" ht="15">
      <c r="A4147" s="113" t="s">
        <v>8452</v>
      </c>
      <c r="B4147" s="112" t="s">
        <v>11323</v>
      </c>
    </row>
    <row r="4148" spans="1:2" ht="15">
      <c r="A4148" s="113" t="s">
        <v>8453</v>
      </c>
      <c r="B4148" s="112" t="s">
        <v>11323</v>
      </c>
    </row>
    <row r="4149" spans="1:2" ht="15">
      <c r="A4149" s="113" t="s">
        <v>8454</v>
      </c>
      <c r="B4149" s="112" t="s">
        <v>11323</v>
      </c>
    </row>
    <row r="4150" spans="1:2" ht="15">
      <c r="A4150" s="113" t="s">
        <v>8455</v>
      </c>
      <c r="B4150" s="112" t="s">
        <v>11323</v>
      </c>
    </row>
    <row r="4151" spans="1:2" ht="15">
      <c r="A4151" s="113" t="s">
        <v>8456</v>
      </c>
      <c r="B4151" s="112" t="s">
        <v>11323</v>
      </c>
    </row>
    <row r="4152" spans="1:2" ht="15">
      <c r="A4152" s="113" t="s">
        <v>8457</v>
      </c>
      <c r="B4152" s="112" t="s">
        <v>11323</v>
      </c>
    </row>
    <row r="4153" spans="1:2" ht="15">
      <c r="A4153" s="113" t="s">
        <v>8458</v>
      </c>
      <c r="B4153" s="112" t="s">
        <v>11323</v>
      </c>
    </row>
    <row r="4154" spans="1:2" ht="15">
      <c r="A4154" s="113" t="s">
        <v>8459</v>
      </c>
      <c r="B4154" s="112" t="s">
        <v>11323</v>
      </c>
    </row>
    <row r="4155" spans="1:2" ht="15">
      <c r="A4155" s="113" t="s">
        <v>8460</v>
      </c>
      <c r="B4155" s="112" t="s">
        <v>11323</v>
      </c>
    </row>
    <row r="4156" spans="1:2" ht="15">
      <c r="A4156" s="113" t="s">
        <v>8461</v>
      </c>
      <c r="B4156" s="112" t="s">
        <v>11323</v>
      </c>
    </row>
    <row r="4157" spans="1:2" ht="15">
      <c r="A4157" s="113" t="s">
        <v>8462</v>
      </c>
      <c r="B4157" s="112" t="s">
        <v>11323</v>
      </c>
    </row>
    <row r="4158" spans="1:2" ht="15">
      <c r="A4158" s="113" t="s">
        <v>8463</v>
      </c>
      <c r="B4158" s="112" t="s">
        <v>11323</v>
      </c>
    </row>
    <row r="4159" spans="1:2" ht="15">
      <c r="A4159" s="113" t="s">
        <v>8464</v>
      </c>
      <c r="B4159" s="112" t="s">
        <v>11323</v>
      </c>
    </row>
    <row r="4160" spans="1:2" ht="15">
      <c r="A4160" s="113" t="s">
        <v>8465</v>
      </c>
      <c r="B4160" s="112" t="s">
        <v>11323</v>
      </c>
    </row>
    <row r="4161" spans="1:2" ht="15">
      <c r="A4161" s="113" t="s">
        <v>8466</v>
      </c>
      <c r="B4161" s="112" t="s">
        <v>11323</v>
      </c>
    </row>
    <row r="4162" spans="1:2" ht="15">
      <c r="A4162" s="113" t="s">
        <v>8467</v>
      </c>
      <c r="B4162" s="112" t="s">
        <v>11323</v>
      </c>
    </row>
    <row r="4163" spans="1:2" ht="15">
      <c r="A4163" s="113" t="s">
        <v>8468</v>
      </c>
      <c r="B4163" s="112" t="s">
        <v>11323</v>
      </c>
    </row>
    <row r="4164" spans="1:2" ht="15">
      <c r="A4164" s="113" t="s">
        <v>8469</v>
      </c>
      <c r="B4164" s="112" t="s">
        <v>11323</v>
      </c>
    </row>
    <row r="4165" spans="1:2" ht="15">
      <c r="A4165" s="113" t="s">
        <v>8470</v>
      </c>
      <c r="B4165" s="112" t="s">
        <v>11323</v>
      </c>
    </row>
    <row r="4166" spans="1:2" ht="15">
      <c r="A4166" s="113" t="s">
        <v>8471</v>
      </c>
      <c r="B4166" s="112" t="s">
        <v>11323</v>
      </c>
    </row>
    <row r="4167" spans="1:2" ht="15">
      <c r="A4167" s="113" t="s">
        <v>8472</v>
      </c>
      <c r="B4167" s="112" t="s">
        <v>11323</v>
      </c>
    </row>
    <row r="4168" spans="1:2" ht="15">
      <c r="A4168" s="113" t="s">
        <v>8473</v>
      </c>
      <c r="B4168" s="112" t="s">
        <v>11323</v>
      </c>
    </row>
    <row r="4169" spans="1:2" ht="15">
      <c r="A4169" s="113" t="s">
        <v>8474</v>
      </c>
      <c r="B4169" s="112" t="s">
        <v>11323</v>
      </c>
    </row>
    <row r="4170" spans="1:2" ht="15">
      <c r="A4170" s="113" t="s">
        <v>8475</v>
      </c>
      <c r="B4170" s="112" t="s">
        <v>11323</v>
      </c>
    </row>
    <row r="4171" spans="1:2" ht="15">
      <c r="A4171" s="113" t="s">
        <v>8476</v>
      </c>
      <c r="B4171" s="112" t="s">
        <v>11323</v>
      </c>
    </row>
    <row r="4172" spans="1:2" ht="15">
      <c r="A4172" s="113" t="s">
        <v>8477</v>
      </c>
      <c r="B4172" s="112" t="s">
        <v>11323</v>
      </c>
    </row>
    <row r="4173" spans="1:2" ht="15">
      <c r="A4173" s="113" t="s">
        <v>8478</v>
      </c>
      <c r="B4173" s="112" t="s">
        <v>11323</v>
      </c>
    </row>
    <row r="4174" spans="1:2" ht="15">
      <c r="A4174" s="113" t="s">
        <v>8479</v>
      </c>
      <c r="B4174" s="112" t="s">
        <v>11323</v>
      </c>
    </row>
    <row r="4175" spans="1:2" ht="15">
      <c r="A4175" s="113" t="s">
        <v>8480</v>
      </c>
      <c r="B4175" s="112" t="s">
        <v>11323</v>
      </c>
    </row>
    <row r="4176" spans="1:2" ht="15">
      <c r="A4176" s="113" t="s">
        <v>8481</v>
      </c>
      <c r="B4176" s="112" t="s">
        <v>11323</v>
      </c>
    </row>
    <row r="4177" spans="1:2" ht="15">
      <c r="A4177" s="113" t="s">
        <v>8482</v>
      </c>
      <c r="B4177" s="112" t="s">
        <v>11323</v>
      </c>
    </row>
    <row r="4178" spans="1:2" ht="15">
      <c r="A4178" s="113" t="s">
        <v>8483</v>
      </c>
      <c r="B4178" s="112" t="s">
        <v>11323</v>
      </c>
    </row>
    <row r="4179" spans="1:2" ht="15">
      <c r="A4179" s="113" t="s">
        <v>8484</v>
      </c>
      <c r="B4179" s="112" t="s">
        <v>11323</v>
      </c>
    </row>
    <row r="4180" spans="1:2" ht="15">
      <c r="A4180" s="113" t="s">
        <v>8485</v>
      </c>
      <c r="B4180" s="112" t="s">
        <v>11323</v>
      </c>
    </row>
    <row r="4181" spans="1:2" ht="15">
      <c r="A4181" s="113" t="s">
        <v>8486</v>
      </c>
      <c r="B4181" s="112" t="s">
        <v>11323</v>
      </c>
    </row>
    <row r="4182" spans="1:2" ht="15">
      <c r="A4182" s="113" t="s">
        <v>8487</v>
      </c>
      <c r="B4182" s="112" t="s">
        <v>11323</v>
      </c>
    </row>
    <row r="4183" spans="1:2" ht="15">
      <c r="A4183" s="113" t="s">
        <v>8488</v>
      </c>
      <c r="B4183" s="112" t="s">
        <v>11323</v>
      </c>
    </row>
    <row r="4184" spans="1:2" ht="15">
      <c r="A4184" s="113" t="s">
        <v>8489</v>
      </c>
      <c r="B4184" s="112" t="s">
        <v>11323</v>
      </c>
    </row>
    <row r="4185" spans="1:2" ht="15">
      <c r="A4185" s="113" t="s">
        <v>8490</v>
      </c>
      <c r="B4185" s="112" t="s">
        <v>11323</v>
      </c>
    </row>
    <row r="4186" spans="1:2" ht="15">
      <c r="A4186" s="113" t="s">
        <v>8491</v>
      </c>
      <c r="B4186" s="112" t="s">
        <v>11323</v>
      </c>
    </row>
    <row r="4187" spans="1:2" ht="15">
      <c r="A4187" s="113" t="s">
        <v>8492</v>
      </c>
      <c r="B4187" s="112" t="s">
        <v>11323</v>
      </c>
    </row>
    <row r="4188" spans="1:2" ht="15">
      <c r="A4188" s="113" t="s">
        <v>8493</v>
      </c>
      <c r="B4188" s="112" t="s">
        <v>11323</v>
      </c>
    </row>
    <row r="4189" spans="1:2" ht="15">
      <c r="A4189" s="113" t="s">
        <v>8494</v>
      </c>
      <c r="B4189" s="112" t="s">
        <v>11323</v>
      </c>
    </row>
    <row r="4190" spans="1:2" ht="15">
      <c r="A4190" s="113" t="s">
        <v>8495</v>
      </c>
      <c r="B4190" s="112" t="s">
        <v>11323</v>
      </c>
    </row>
    <row r="4191" spans="1:2" ht="15">
      <c r="A4191" s="113" t="s">
        <v>8496</v>
      </c>
      <c r="B4191" s="112" t="s">
        <v>11323</v>
      </c>
    </row>
    <row r="4192" spans="1:2" ht="15">
      <c r="A4192" s="113" t="s">
        <v>8497</v>
      </c>
      <c r="B4192" s="112" t="s">
        <v>11323</v>
      </c>
    </row>
    <row r="4193" spans="1:2" ht="15">
      <c r="A4193" s="113" t="s">
        <v>8498</v>
      </c>
      <c r="B4193" s="112" t="s">
        <v>11323</v>
      </c>
    </row>
    <row r="4194" spans="1:2" ht="15">
      <c r="A4194" s="113" t="s">
        <v>8499</v>
      </c>
      <c r="B4194" s="112" t="s">
        <v>11323</v>
      </c>
    </row>
    <row r="4195" spans="1:2" ht="15">
      <c r="A4195" s="113" t="s">
        <v>8500</v>
      </c>
      <c r="B4195" s="112" t="s">
        <v>11323</v>
      </c>
    </row>
    <row r="4196" spans="1:2" ht="15">
      <c r="A4196" s="113" t="s">
        <v>8501</v>
      </c>
      <c r="B4196" s="112" t="s">
        <v>11323</v>
      </c>
    </row>
    <row r="4197" spans="1:2" ht="15">
      <c r="A4197" s="113" t="s">
        <v>8502</v>
      </c>
      <c r="B4197" s="112" t="s">
        <v>11323</v>
      </c>
    </row>
    <row r="4198" spans="1:2" ht="15">
      <c r="A4198" s="113" t="s">
        <v>8503</v>
      </c>
      <c r="B4198" s="112" t="s">
        <v>11323</v>
      </c>
    </row>
    <row r="4199" spans="1:2" ht="15">
      <c r="A4199" s="113" t="s">
        <v>8504</v>
      </c>
      <c r="B4199" s="112" t="s">
        <v>11323</v>
      </c>
    </row>
    <row r="4200" spans="1:2" ht="15">
      <c r="A4200" s="113" t="s">
        <v>8505</v>
      </c>
      <c r="B4200" s="112" t="s">
        <v>11323</v>
      </c>
    </row>
    <row r="4201" spans="1:2" ht="15">
      <c r="A4201" s="113" t="s">
        <v>8506</v>
      </c>
      <c r="B4201" s="112" t="s">
        <v>11323</v>
      </c>
    </row>
    <row r="4202" spans="1:2" ht="15">
      <c r="A4202" s="113" t="s">
        <v>8507</v>
      </c>
      <c r="B4202" s="112" t="s">
        <v>11323</v>
      </c>
    </row>
    <row r="4203" spans="1:2" ht="15">
      <c r="A4203" s="113" t="s">
        <v>8508</v>
      </c>
      <c r="B4203" s="112" t="s">
        <v>11323</v>
      </c>
    </row>
    <row r="4204" spans="1:2" ht="15">
      <c r="A4204" s="113" t="s">
        <v>8509</v>
      </c>
      <c r="B4204" s="112" t="s">
        <v>11323</v>
      </c>
    </row>
    <row r="4205" spans="1:2" ht="15">
      <c r="A4205" s="113" t="s">
        <v>8510</v>
      </c>
      <c r="B4205" s="112" t="s">
        <v>11323</v>
      </c>
    </row>
    <row r="4206" spans="1:2" ht="15">
      <c r="A4206" s="113" t="s">
        <v>8511</v>
      </c>
      <c r="B4206" s="112" t="s">
        <v>11323</v>
      </c>
    </row>
    <row r="4207" spans="1:2" ht="15">
      <c r="A4207" s="113" t="s">
        <v>8512</v>
      </c>
      <c r="B4207" s="112" t="s">
        <v>11323</v>
      </c>
    </row>
    <row r="4208" spans="1:2" ht="15">
      <c r="A4208" s="113" t="s">
        <v>8513</v>
      </c>
      <c r="B4208" s="112" t="s">
        <v>11323</v>
      </c>
    </row>
    <row r="4209" spans="1:2" ht="15">
      <c r="A4209" s="113" t="s">
        <v>8514</v>
      </c>
      <c r="B4209" s="112" t="s">
        <v>11323</v>
      </c>
    </row>
    <row r="4210" spans="1:2" ht="15">
      <c r="A4210" s="113" t="s">
        <v>8515</v>
      </c>
      <c r="B4210" s="112" t="s">
        <v>11323</v>
      </c>
    </row>
    <row r="4211" spans="1:2" ht="15">
      <c r="A4211" s="113" t="s">
        <v>8516</v>
      </c>
      <c r="B4211" s="112" t="s">
        <v>11323</v>
      </c>
    </row>
    <row r="4212" spans="1:2" ht="15">
      <c r="A4212" s="113" t="s">
        <v>8517</v>
      </c>
      <c r="B4212" s="112" t="s">
        <v>11323</v>
      </c>
    </row>
    <row r="4213" spans="1:2" ht="15">
      <c r="A4213" s="113" t="s">
        <v>8518</v>
      </c>
      <c r="B4213" s="112" t="s">
        <v>11323</v>
      </c>
    </row>
    <row r="4214" spans="1:2" ht="15">
      <c r="A4214" s="113" t="s">
        <v>8519</v>
      </c>
      <c r="B4214" s="112" t="s">
        <v>11323</v>
      </c>
    </row>
    <row r="4215" spans="1:2" ht="15">
      <c r="A4215" s="113" t="s">
        <v>8520</v>
      </c>
      <c r="B4215" s="112" t="s">
        <v>11323</v>
      </c>
    </row>
    <row r="4216" spans="1:2" ht="15">
      <c r="A4216" s="113" t="s">
        <v>8521</v>
      </c>
      <c r="B4216" s="112" t="s">
        <v>11323</v>
      </c>
    </row>
    <row r="4217" spans="1:2" ht="15">
      <c r="A4217" s="113" t="s">
        <v>8522</v>
      </c>
      <c r="B4217" s="112" t="s">
        <v>11323</v>
      </c>
    </row>
    <row r="4218" spans="1:2" ht="15">
      <c r="A4218" s="113" t="s">
        <v>8523</v>
      </c>
      <c r="B4218" s="112" t="s">
        <v>11323</v>
      </c>
    </row>
    <row r="4219" spans="1:2" ht="15">
      <c r="A4219" s="113" t="s">
        <v>8524</v>
      </c>
      <c r="B4219" s="112" t="s">
        <v>11323</v>
      </c>
    </row>
    <row r="4220" spans="1:2" ht="15">
      <c r="A4220" s="113" t="s">
        <v>8525</v>
      </c>
      <c r="B4220" s="112" t="s">
        <v>11323</v>
      </c>
    </row>
    <row r="4221" spans="1:2" ht="15">
      <c r="A4221" s="113" t="s">
        <v>8526</v>
      </c>
      <c r="B4221" s="112" t="s">
        <v>11323</v>
      </c>
    </row>
    <row r="4222" spans="1:2" ht="15">
      <c r="A4222" s="113" t="s">
        <v>8527</v>
      </c>
      <c r="B4222" s="112" t="s">
        <v>11323</v>
      </c>
    </row>
    <row r="4223" spans="1:2" ht="15">
      <c r="A4223" s="113" t="s">
        <v>8528</v>
      </c>
      <c r="B4223" s="112" t="s">
        <v>11323</v>
      </c>
    </row>
    <row r="4224" spans="1:2" ht="15">
      <c r="A4224" s="113" t="s">
        <v>8529</v>
      </c>
      <c r="B4224" s="112" t="s">
        <v>11323</v>
      </c>
    </row>
    <row r="4225" spans="1:2" ht="15">
      <c r="A4225" s="113" t="s">
        <v>8530</v>
      </c>
      <c r="B4225" s="112" t="s">
        <v>11323</v>
      </c>
    </row>
    <row r="4226" spans="1:2" ht="15">
      <c r="A4226" s="113" t="s">
        <v>8531</v>
      </c>
      <c r="B4226" s="112" t="s">
        <v>11323</v>
      </c>
    </row>
    <row r="4227" spans="1:2" ht="15">
      <c r="A4227" s="113" t="s">
        <v>8532</v>
      </c>
      <c r="B4227" s="112" t="s">
        <v>11323</v>
      </c>
    </row>
    <row r="4228" spans="1:2" ht="15">
      <c r="A4228" s="113" t="s">
        <v>8533</v>
      </c>
      <c r="B4228" s="112" t="s">
        <v>11323</v>
      </c>
    </row>
    <row r="4229" spans="1:2" ht="15">
      <c r="A4229" s="113" t="s">
        <v>8534</v>
      </c>
      <c r="B4229" s="112" t="s">
        <v>11323</v>
      </c>
    </row>
    <row r="4230" spans="1:2" ht="15">
      <c r="A4230" s="113" t="s">
        <v>8535</v>
      </c>
      <c r="B4230" s="112" t="s">
        <v>11323</v>
      </c>
    </row>
    <row r="4231" spans="1:2" ht="15">
      <c r="A4231" s="113" t="s">
        <v>8536</v>
      </c>
      <c r="B4231" s="112" t="s">
        <v>11323</v>
      </c>
    </row>
    <row r="4232" spans="1:2" ht="15">
      <c r="A4232" s="113" t="s">
        <v>8537</v>
      </c>
      <c r="B4232" s="112" t="s">
        <v>11323</v>
      </c>
    </row>
    <row r="4233" spans="1:2" ht="15">
      <c r="A4233" s="113" t="s">
        <v>8538</v>
      </c>
      <c r="B4233" s="112" t="s">
        <v>11323</v>
      </c>
    </row>
    <row r="4234" spans="1:2" ht="15">
      <c r="A4234" s="113" t="s">
        <v>8539</v>
      </c>
      <c r="B4234" s="112" t="s">
        <v>11323</v>
      </c>
    </row>
    <row r="4235" spans="1:2" ht="15">
      <c r="A4235" s="113" t="s">
        <v>8540</v>
      </c>
      <c r="B4235" s="112" t="s">
        <v>11323</v>
      </c>
    </row>
    <row r="4236" spans="1:2" ht="15">
      <c r="A4236" s="113" t="s">
        <v>8541</v>
      </c>
      <c r="B4236" s="112" t="s">
        <v>11323</v>
      </c>
    </row>
    <row r="4237" spans="1:2" ht="15">
      <c r="A4237" s="113" t="s">
        <v>8542</v>
      </c>
      <c r="B4237" s="112" t="s">
        <v>11323</v>
      </c>
    </row>
    <row r="4238" spans="1:2" ht="15">
      <c r="A4238" s="113" t="s">
        <v>8543</v>
      </c>
      <c r="B4238" s="112" t="s">
        <v>11323</v>
      </c>
    </row>
    <row r="4239" spans="1:2" ht="15">
      <c r="A4239" s="113" t="s">
        <v>8544</v>
      </c>
      <c r="B4239" s="112" t="s">
        <v>11323</v>
      </c>
    </row>
    <row r="4240" spans="1:2" ht="15">
      <c r="A4240" s="113" t="s">
        <v>8545</v>
      </c>
      <c r="B4240" s="112" t="s">
        <v>11323</v>
      </c>
    </row>
    <row r="4241" spans="1:2" ht="15">
      <c r="A4241" s="113" t="s">
        <v>8546</v>
      </c>
      <c r="B4241" s="112" t="s">
        <v>11323</v>
      </c>
    </row>
    <row r="4242" spans="1:2" ht="15">
      <c r="A4242" s="113" t="s">
        <v>8547</v>
      </c>
      <c r="B4242" s="112" t="s">
        <v>11323</v>
      </c>
    </row>
    <row r="4243" spans="1:2" ht="15">
      <c r="A4243" s="113" t="s">
        <v>8548</v>
      </c>
      <c r="B4243" s="112" t="s">
        <v>11323</v>
      </c>
    </row>
    <row r="4244" spans="1:2" ht="15">
      <c r="A4244" s="113" t="s">
        <v>8549</v>
      </c>
      <c r="B4244" s="112" t="s">
        <v>11323</v>
      </c>
    </row>
    <row r="4245" spans="1:2" ht="15">
      <c r="A4245" s="113" t="s">
        <v>8550</v>
      </c>
      <c r="B4245" s="112" t="s">
        <v>11323</v>
      </c>
    </row>
    <row r="4246" spans="1:2" ht="15">
      <c r="A4246" s="113" t="s">
        <v>8551</v>
      </c>
      <c r="B4246" s="112" t="s">
        <v>11323</v>
      </c>
    </row>
    <row r="4247" spans="1:2" ht="15">
      <c r="A4247" s="113" t="s">
        <v>8552</v>
      </c>
      <c r="B4247" s="112" t="s">
        <v>11323</v>
      </c>
    </row>
    <row r="4248" spans="1:2" ht="15">
      <c r="A4248" s="113" t="s">
        <v>8553</v>
      </c>
      <c r="B4248" s="112" t="s">
        <v>11323</v>
      </c>
    </row>
    <row r="4249" spans="1:2" ht="15">
      <c r="A4249" s="113" t="s">
        <v>8554</v>
      </c>
      <c r="B4249" s="112" t="s">
        <v>11323</v>
      </c>
    </row>
    <row r="4250" spans="1:2" ht="15">
      <c r="A4250" s="113" t="s">
        <v>8555</v>
      </c>
      <c r="B4250" s="112" t="s">
        <v>11323</v>
      </c>
    </row>
    <row r="4251" spans="1:2" ht="15">
      <c r="A4251" s="113" t="s">
        <v>8556</v>
      </c>
      <c r="B4251" s="112" t="s">
        <v>11323</v>
      </c>
    </row>
    <row r="4252" spans="1:2" ht="15">
      <c r="A4252" s="113" t="s">
        <v>8557</v>
      </c>
      <c r="B4252" s="112" t="s">
        <v>11323</v>
      </c>
    </row>
    <row r="4253" spans="1:2" ht="15">
      <c r="A4253" s="113" t="s">
        <v>8558</v>
      </c>
      <c r="B4253" s="112" t="s">
        <v>11323</v>
      </c>
    </row>
    <row r="4254" spans="1:2" ht="15">
      <c r="A4254" s="113" t="s">
        <v>8559</v>
      </c>
      <c r="B4254" s="112" t="s">
        <v>11323</v>
      </c>
    </row>
    <row r="4255" spans="1:2" ht="15">
      <c r="A4255" s="113" t="s">
        <v>8560</v>
      </c>
      <c r="B4255" s="112" t="s">
        <v>11323</v>
      </c>
    </row>
    <row r="4256" spans="1:2" ht="15">
      <c r="A4256" s="113" t="s">
        <v>8561</v>
      </c>
      <c r="B4256" s="112" t="s">
        <v>11323</v>
      </c>
    </row>
    <row r="4257" spans="1:2" ht="15">
      <c r="A4257" s="113" t="s">
        <v>8562</v>
      </c>
      <c r="B4257" s="112" t="s">
        <v>11323</v>
      </c>
    </row>
    <row r="4258" spans="1:2" ht="15">
      <c r="A4258" s="113" t="s">
        <v>8563</v>
      </c>
      <c r="B4258" s="112" t="s">
        <v>11323</v>
      </c>
    </row>
    <row r="4259" spans="1:2" ht="15">
      <c r="A4259" s="113" t="s">
        <v>8564</v>
      </c>
      <c r="B4259" s="112" t="s">
        <v>11323</v>
      </c>
    </row>
    <row r="4260" spans="1:2" ht="15">
      <c r="A4260" s="113" t="s">
        <v>8565</v>
      </c>
      <c r="B4260" s="112" t="s">
        <v>11323</v>
      </c>
    </row>
    <row r="4261" spans="1:2" ht="15">
      <c r="A4261" s="113" t="s">
        <v>8566</v>
      </c>
      <c r="B4261" s="112" t="s">
        <v>11323</v>
      </c>
    </row>
    <row r="4262" spans="1:2" ht="15">
      <c r="A4262" s="113" t="s">
        <v>8567</v>
      </c>
      <c r="B4262" s="112" t="s">
        <v>11323</v>
      </c>
    </row>
    <row r="4263" spans="1:2" ht="15">
      <c r="A4263" s="113" t="s">
        <v>8568</v>
      </c>
      <c r="B4263" s="112" t="s">
        <v>11323</v>
      </c>
    </row>
    <row r="4264" spans="1:2" ht="15">
      <c r="A4264" s="113" t="s">
        <v>8569</v>
      </c>
      <c r="B4264" s="112" t="s">
        <v>11323</v>
      </c>
    </row>
    <row r="4265" spans="1:2" ht="15">
      <c r="A4265" s="113" t="s">
        <v>8570</v>
      </c>
      <c r="B4265" s="112" t="s">
        <v>11323</v>
      </c>
    </row>
    <row r="4266" spans="1:2" ht="15">
      <c r="A4266" s="113" t="s">
        <v>8571</v>
      </c>
      <c r="B4266" s="112" t="s">
        <v>11323</v>
      </c>
    </row>
    <row r="4267" spans="1:2" ht="15">
      <c r="A4267" s="113" t="s">
        <v>8572</v>
      </c>
      <c r="B4267" s="112" t="s">
        <v>11323</v>
      </c>
    </row>
    <row r="4268" spans="1:2" ht="15">
      <c r="A4268" s="113" t="s">
        <v>8573</v>
      </c>
      <c r="B4268" s="112" t="s">
        <v>11323</v>
      </c>
    </row>
    <row r="4269" spans="1:2" ht="15">
      <c r="A4269" s="113" t="s">
        <v>8574</v>
      </c>
      <c r="B4269" s="112" t="s">
        <v>11323</v>
      </c>
    </row>
    <row r="4270" spans="1:2" ht="15">
      <c r="A4270" s="113" t="s">
        <v>8575</v>
      </c>
      <c r="B4270" s="112" t="s">
        <v>11323</v>
      </c>
    </row>
    <row r="4271" spans="1:2" ht="15">
      <c r="A4271" s="113" t="s">
        <v>8576</v>
      </c>
      <c r="B4271" s="112" t="s">
        <v>11323</v>
      </c>
    </row>
    <row r="4272" spans="1:2" ht="15">
      <c r="A4272" s="113" t="s">
        <v>8577</v>
      </c>
      <c r="B4272" s="112" t="s">
        <v>11323</v>
      </c>
    </row>
    <row r="4273" spans="1:2" ht="15">
      <c r="A4273" s="113" t="s">
        <v>8578</v>
      </c>
      <c r="B4273" s="112" t="s">
        <v>11323</v>
      </c>
    </row>
    <row r="4274" spans="1:2" ht="15">
      <c r="A4274" s="113" t="s">
        <v>8579</v>
      </c>
      <c r="B4274" s="112" t="s">
        <v>11323</v>
      </c>
    </row>
    <row r="4275" spans="1:2" ht="15">
      <c r="A4275" s="113" t="s">
        <v>8580</v>
      </c>
      <c r="B4275" s="112" t="s">
        <v>11323</v>
      </c>
    </row>
    <row r="4276" spans="1:2" ht="15">
      <c r="A4276" s="113" t="s">
        <v>8581</v>
      </c>
      <c r="B4276" s="112" t="s">
        <v>11323</v>
      </c>
    </row>
    <row r="4277" spans="1:2" ht="15">
      <c r="A4277" s="113" t="s">
        <v>8582</v>
      </c>
      <c r="B4277" s="112" t="s">
        <v>11323</v>
      </c>
    </row>
    <row r="4278" spans="1:2" ht="15">
      <c r="A4278" s="113" t="s">
        <v>8583</v>
      </c>
      <c r="B4278" s="112" t="s">
        <v>11323</v>
      </c>
    </row>
    <row r="4279" spans="1:2" ht="15">
      <c r="A4279" s="113" t="s">
        <v>8584</v>
      </c>
      <c r="B4279" s="112" t="s">
        <v>11323</v>
      </c>
    </row>
    <row r="4280" spans="1:2" ht="15">
      <c r="A4280" s="113" t="s">
        <v>8585</v>
      </c>
      <c r="B4280" s="112" t="s">
        <v>11323</v>
      </c>
    </row>
    <row r="4281" spans="1:2" ht="15">
      <c r="A4281" s="113" t="s">
        <v>8586</v>
      </c>
      <c r="B4281" s="112" t="s">
        <v>11323</v>
      </c>
    </row>
    <row r="4282" spans="1:2" ht="15">
      <c r="A4282" s="113" t="s">
        <v>8587</v>
      </c>
      <c r="B4282" s="112" t="s">
        <v>11323</v>
      </c>
    </row>
    <row r="4283" spans="1:2" ht="15">
      <c r="A4283" s="113" t="s">
        <v>8588</v>
      </c>
      <c r="B4283" s="112" t="s">
        <v>11323</v>
      </c>
    </row>
    <row r="4284" spans="1:2" ht="15">
      <c r="A4284" s="113" t="s">
        <v>8589</v>
      </c>
      <c r="B4284" s="112" t="s">
        <v>11323</v>
      </c>
    </row>
    <row r="4285" spans="1:2" ht="15">
      <c r="A4285" s="113" t="s">
        <v>8590</v>
      </c>
      <c r="B4285" s="112" t="s">
        <v>11323</v>
      </c>
    </row>
    <row r="4286" spans="1:2" ht="15">
      <c r="A4286" s="113" t="s">
        <v>8591</v>
      </c>
      <c r="B4286" s="112" t="s">
        <v>11323</v>
      </c>
    </row>
    <row r="4287" spans="1:2" ht="15">
      <c r="A4287" s="113" t="s">
        <v>8592</v>
      </c>
      <c r="B4287" s="112" t="s">
        <v>11323</v>
      </c>
    </row>
    <row r="4288" spans="1:2" ht="15">
      <c r="A4288" s="113" t="s">
        <v>8593</v>
      </c>
      <c r="B4288" s="112" t="s">
        <v>11323</v>
      </c>
    </row>
    <row r="4289" spans="1:2" ht="15">
      <c r="A4289" s="113" t="s">
        <v>8594</v>
      </c>
      <c r="B4289" s="112" t="s">
        <v>11323</v>
      </c>
    </row>
    <row r="4290" spans="1:2" ht="15">
      <c r="A4290" s="113" t="s">
        <v>8595</v>
      </c>
      <c r="B4290" s="112" t="s">
        <v>11323</v>
      </c>
    </row>
    <row r="4291" spans="1:2" ht="15">
      <c r="A4291" s="113" t="s">
        <v>8596</v>
      </c>
      <c r="B4291" s="112" t="s">
        <v>11323</v>
      </c>
    </row>
    <row r="4292" spans="1:2" ht="15">
      <c r="A4292" s="113" t="s">
        <v>8597</v>
      </c>
      <c r="B4292" s="112" t="s">
        <v>11323</v>
      </c>
    </row>
    <row r="4293" spans="1:2" ht="15">
      <c r="A4293" s="113" t="s">
        <v>8598</v>
      </c>
      <c r="B4293" s="112" t="s">
        <v>11323</v>
      </c>
    </row>
    <row r="4294" spans="1:2" ht="15">
      <c r="A4294" s="113" t="s">
        <v>8599</v>
      </c>
      <c r="B4294" s="112" t="s">
        <v>11323</v>
      </c>
    </row>
    <row r="4295" spans="1:2" ht="15">
      <c r="A4295" s="113" t="s">
        <v>8600</v>
      </c>
      <c r="B4295" s="112" t="s">
        <v>11323</v>
      </c>
    </row>
    <row r="4296" spans="1:2" ht="15">
      <c r="A4296" s="113" t="s">
        <v>8601</v>
      </c>
      <c r="B4296" s="112" t="s">
        <v>11323</v>
      </c>
    </row>
    <row r="4297" spans="1:2" ht="15">
      <c r="A4297" s="113" t="s">
        <v>8602</v>
      </c>
      <c r="B4297" s="112" t="s">
        <v>11323</v>
      </c>
    </row>
    <row r="4298" spans="1:2" ht="15">
      <c r="A4298" s="113" t="s">
        <v>8603</v>
      </c>
      <c r="B4298" s="112" t="s">
        <v>11323</v>
      </c>
    </row>
    <row r="4299" spans="1:2" ht="15">
      <c r="A4299" s="113" t="s">
        <v>8604</v>
      </c>
      <c r="B4299" s="112" t="s">
        <v>11323</v>
      </c>
    </row>
    <row r="4300" spans="1:2" ht="15">
      <c r="A4300" s="113" t="s">
        <v>8605</v>
      </c>
      <c r="B4300" s="112" t="s">
        <v>11323</v>
      </c>
    </row>
    <row r="4301" spans="1:2" ht="15">
      <c r="A4301" s="113" t="s">
        <v>8606</v>
      </c>
      <c r="B4301" s="112" t="s">
        <v>11323</v>
      </c>
    </row>
    <row r="4302" spans="1:2" ht="15">
      <c r="A4302" s="113" t="s">
        <v>8607</v>
      </c>
      <c r="B4302" s="112" t="s">
        <v>11323</v>
      </c>
    </row>
    <row r="4303" spans="1:2" ht="15">
      <c r="A4303" s="113" t="s">
        <v>8608</v>
      </c>
      <c r="B4303" s="112" t="s">
        <v>11323</v>
      </c>
    </row>
    <row r="4304" spans="1:2" ht="15">
      <c r="A4304" s="113" t="s">
        <v>8609</v>
      </c>
      <c r="B4304" s="112" t="s">
        <v>11323</v>
      </c>
    </row>
    <row r="4305" spans="1:2" ht="15">
      <c r="A4305" s="113" t="s">
        <v>8610</v>
      </c>
      <c r="B4305" s="112" t="s">
        <v>11323</v>
      </c>
    </row>
    <row r="4306" spans="1:2" ht="15">
      <c r="A4306" s="113" t="s">
        <v>8611</v>
      </c>
      <c r="B4306" s="112" t="s">
        <v>11323</v>
      </c>
    </row>
    <row r="4307" spans="1:2" ht="15">
      <c r="A4307" s="113" t="s">
        <v>8612</v>
      </c>
      <c r="B4307" s="112" t="s">
        <v>11323</v>
      </c>
    </row>
    <row r="4308" spans="1:2" ht="15">
      <c r="A4308" s="113" t="s">
        <v>8613</v>
      </c>
      <c r="B4308" s="112" t="s">
        <v>11323</v>
      </c>
    </row>
    <row r="4309" spans="1:2" ht="15">
      <c r="A4309" s="113" t="s">
        <v>8614</v>
      </c>
      <c r="B4309" s="112" t="s">
        <v>11323</v>
      </c>
    </row>
    <row r="4310" spans="1:2" ht="15">
      <c r="A4310" s="113" t="s">
        <v>8615</v>
      </c>
      <c r="B4310" s="112" t="s">
        <v>11323</v>
      </c>
    </row>
    <row r="4311" spans="1:2" ht="15">
      <c r="A4311" s="113" t="s">
        <v>8616</v>
      </c>
      <c r="B4311" s="112" t="s">
        <v>11323</v>
      </c>
    </row>
    <row r="4312" spans="1:2" ht="15">
      <c r="A4312" s="113" t="s">
        <v>8617</v>
      </c>
      <c r="B4312" s="112" t="s">
        <v>11323</v>
      </c>
    </row>
    <row r="4313" spans="1:2" ht="15">
      <c r="A4313" s="113" t="s">
        <v>8618</v>
      </c>
      <c r="B4313" s="112" t="s">
        <v>11323</v>
      </c>
    </row>
    <row r="4314" spans="1:2" ht="15">
      <c r="A4314" s="113" t="s">
        <v>8619</v>
      </c>
      <c r="B4314" s="112" t="s">
        <v>11323</v>
      </c>
    </row>
    <row r="4315" spans="1:2" ht="15">
      <c r="A4315" s="113" t="s">
        <v>8620</v>
      </c>
      <c r="B4315" s="112" t="s">
        <v>11323</v>
      </c>
    </row>
    <row r="4316" spans="1:2" ht="15">
      <c r="A4316" s="113" t="s">
        <v>8621</v>
      </c>
      <c r="B4316" s="112" t="s">
        <v>11323</v>
      </c>
    </row>
    <row r="4317" spans="1:2" ht="15">
      <c r="A4317" s="113" t="s">
        <v>8622</v>
      </c>
      <c r="B4317" s="112" t="s">
        <v>11323</v>
      </c>
    </row>
    <row r="4318" spans="1:2" ht="15">
      <c r="A4318" s="113" t="s">
        <v>8623</v>
      </c>
      <c r="B4318" s="112" t="s">
        <v>11323</v>
      </c>
    </row>
    <row r="4319" spans="1:2" ht="15">
      <c r="A4319" s="113" t="s">
        <v>8624</v>
      </c>
      <c r="B4319" s="112" t="s">
        <v>11323</v>
      </c>
    </row>
    <row r="4320" spans="1:2" ht="15">
      <c r="A4320" s="113" t="s">
        <v>8625</v>
      </c>
      <c r="B4320" s="112" t="s">
        <v>11323</v>
      </c>
    </row>
    <row r="4321" spans="1:2" ht="15">
      <c r="A4321" s="113" t="s">
        <v>8626</v>
      </c>
      <c r="B4321" s="112" t="s">
        <v>11323</v>
      </c>
    </row>
    <row r="4322" spans="1:2" ht="15">
      <c r="A4322" s="113" t="s">
        <v>8627</v>
      </c>
      <c r="B4322" s="112" t="s">
        <v>11323</v>
      </c>
    </row>
    <row r="4323" spans="1:2" ht="15">
      <c r="A4323" s="113" t="s">
        <v>8628</v>
      </c>
      <c r="B4323" s="112" t="s">
        <v>11323</v>
      </c>
    </row>
    <row r="4324" spans="1:2" ht="15">
      <c r="A4324" s="113" t="s">
        <v>8629</v>
      </c>
      <c r="B4324" s="112" t="s">
        <v>11323</v>
      </c>
    </row>
    <row r="4325" spans="1:2" ht="15">
      <c r="A4325" s="113" t="s">
        <v>8630</v>
      </c>
      <c r="B4325" s="112" t="s">
        <v>11323</v>
      </c>
    </row>
    <row r="4326" spans="1:2" ht="15">
      <c r="A4326" s="113" t="s">
        <v>8631</v>
      </c>
      <c r="B4326" s="112" t="s">
        <v>11323</v>
      </c>
    </row>
    <row r="4327" spans="1:2" ht="15">
      <c r="A4327" s="113" t="s">
        <v>8632</v>
      </c>
      <c r="B4327" s="112" t="s">
        <v>11323</v>
      </c>
    </row>
    <row r="4328" spans="1:2" ht="15">
      <c r="A4328" s="113" t="s">
        <v>8633</v>
      </c>
      <c r="B4328" s="112" t="s">
        <v>11323</v>
      </c>
    </row>
    <row r="4329" spans="1:2" ht="15">
      <c r="A4329" s="113" t="s">
        <v>8634</v>
      </c>
      <c r="B4329" s="112" t="s">
        <v>11323</v>
      </c>
    </row>
    <row r="4330" spans="1:2" ht="15">
      <c r="A4330" s="113" t="s">
        <v>8635</v>
      </c>
      <c r="B4330" s="112" t="s">
        <v>11323</v>
      </c>
    </row>
    <row r="4331" spans="1:2" ht="15">
      <c r="A4331" s="113" t="s">
        <v>8636</v>
      </c>
      <c r="B4331" s="112" t="s">
        <v>11323</v>
      </c>
    </row>
    <row r="4332" spans="1:2" ht="15">
      <c r="A4332" s="113" t="s">
        <v>8637</v>
      </c>
      <c r="B4332" s="112" t="s">
        <v>11323</v>
      </c>
    </row>
    <row r="4333" spans="1:2" ht="15">
      <c r="A4333" s="113" t="s">
        <v>8638</v>
      </c>
      <c r="B4333" s="112" t="s">
        <v>11323</v>
      </c>
    </row>
    <row r="4334" spans="1:2" ht="15">
      <c r="A4334" s="113" t="s">
        <v>8639</v>
      </c>
      <c r="B4334" s="112" t="s">
        <v>11323</v>
      </c>
    </row>
    <row r="4335" spans="1:2" ht="15">
      <c r="A4335" s="113" t="s">
        <v>8640</v>
      </c>
      <c r="B4335" s="112" t="s">
        <v>11323</v>
      </c>
    </row>
    <row r="4336" spans="1:2" ht="15">
      <c r="A4336" s="113" t="s">
        <v>8641</v>
      </c>
      <c r="B4336" s="112" t="s">
        <v>11323</v>
      </c>
    </row>
    <row r="4337" spans="1:2" ht="15">
      <c r="A4337" s="113" t="s">
        <v>8642</v>
      </c>
      <c r="B4337" s="112" t="s">
        <v>11323</v>
      </c>
    </row>
    <row r="4338" spans="1:2" ht="15">
      <c r="A4338" s="113" t="s">
        <v>8643</v>
      </c>
      <c r="B4338" s="112" t="s">
        <v>11323</v>
      </c>
    </row>
    <row r="4339" spans="1:2" ht="15">
      <c r="A4339" s="113" t="s">
        <v>8644</v>
      </c>
      <c r="B4339" s="112" t="s">
        <v>11323</v>
      </c>
    </row>
    <row r="4340" spans="1:2" ht="15">
      <c r="A4340" s="113" t="s">
        <v>8645</v>
      </c>
      <c r="B4340" s="112" t="s">
        <v>11323</v>
      </c>
    </row>
    <row r="4341" spans="1:2" ht="15">
      <c r="A4341" s="113" t="s">
        <v>8646</v>
      </c>
      <c r="B4341" s="112" t="s">
        <v>11323</v>
      </c>
    </row>
    <row r="4342" spans="1:2" ht="15">
      <c r="A4342" s="113" t="s">
        <v>8647</v>
      </c>
      <c r="B4342" s="112" t="s">
        <v>11323</v>
      </c>
    </row>
    <row r="4343" spans="1:2" ht="15">
      <c r="A4343" s="113" t="s">
        <v>8648</v>
      </c>
      <c r="B4343" s="112" t="s">
        <v>11323</v>
      </c>
    </row>
    <row r="4344" spans="1:2" ht="15">
      <c r="A4344" s="113" t="s">
        <v>8649</v>
      </c>
      <c r="B4344" s="112" t="s">
        <v>11323</v>
      </c>
    </row>
    <row r="4345" spans="1:2" ht="15">
      <c r="A4345" s="113" t="s">
        <v>8650</v>
      </c>
      <c r="B4345" s="112" t="s">
        <v>11323</v>
      </c>
    </row>
    <row r="4346" spans="1:2" ht="15">
      <c r="A4346" s="113" t="s">
        <v>8651</v>
      </c>
      <c r="B4346" s="112" t="s">
        <v>11323</v>
      </c>
    </row>
    <row r="4347" spans="1:2" ht="15">
      <c r="A4347" s="113" t="s">
        <v>8652</v>
      </c>
      <c r="B4347" s="112" t="s">
        <v>11323</v>
      </c>
    </row>
    <row r="4348" spans="1:2" ht="15">
      <c r="A4348" s="113" t="s">
        <v>8653</v>
      </c>
      <c r="B4348" s="112" t="s">
        <v>11323</v>
      </c>
    </row>
    <row r="4349" spans="1:2" ht="15">
      <c r="A4349" s="113" t="s">
        <v>8654</v>
      </c>
      <c r="B4349" s="112" t="s">
        <v>11323</v>
      </c>
    </row>
    <row r="4350" spans="1:2" ht="15">
      <c r="A4350" s="113" t="s">
        <v>8655</v>
      </c>
      <c r="B4350" s="112" t="s">
        <v>11323</v>
      </c>
    </row>
    <row r="4351" spans="1:2" ht="15">
      <c r="A4351" s="113" t="s">
        <v>8656</v>
      </c>
      <c r="B4351" s="112" t="s">
        <v>11323</v>
      </c>
    </row>
    <row r="4352" spans="1:2" ht="15">
      <c r="A4352" s="113" t="s">
        <v>8657</v>
      </c>
      <c r="B4352" s="112" t="s">
        <v>11323</v>
      </c>
    </row>
    <row r="4353" spans="1:2" ht="15">
      <c r="A4353" s="113" t="s">
        <v>8658</v>
      </c>
      <c r="B4353" s="112" t="s">
        <v>11323</v>
      </c>
    </row>
    <row r="4354" spans="1:2" ht="15">
      <c r="A4354" s="113" t="s">
        <v>8659</v>
      </c>
      <c r="B4354" s="112" t="s">
        <v>11323</v>
      </c>
    </row>
    <row r="4355" spans="1:2" ht="15">
      <c r="A4355" s="113" t="s">
        <v>8660</v>
      </c>
      <c r="B4355" s="112" t="s">
        <v>11323</v>
      </c>
    </row>
    <row r="4356" spans="1:2" ht="15">
      <c r="A4356" s="113" t="s">
        <v>8661</v>
      </c>
      <c r="B4356" s="112" t="s">
        <v>11323</v>
      </c>
    </row>
    <row r="4357" spans="1:2" ht="15">
      <c r="A4357" s="113" t="s">
        <v>8662</v>
      </c>
      <c r="B4357" s="112" t="s">
        <v>11323</v>
      </c>
    </row>
    <row r="4358" spans="1:2" ht="15">
      <c r="A4358" s="113" t="s">
        <v>8663</v>
      </c>
      <c r="B4358" s="112" t="s">
        <v>11323</v>
      </c>
    </row>
    <row r="4359" spans="1:2" ht="15">
      <c r="A4359" s="113" t="s">
        <v>8664</v>
      </c>
      <c r="B4359" s="112" t="s">
        <v>11323</v>
      </c>
    </row>
    <row r="4360" spans="1:2" ht="15">
      <c r="A4360" s="113" t="s">
        <v>8665</v>
      </c>
      <c r="B4360" s="112" t="s">
        <v>11323</v>
      </c>
    </row>
    <row r="4361" spans="1:2" ht="15">
      <c r="A4361" s="113" t="s">
        <v>8666</v>
      </c>
      <c r="B4361" s="112" t="s">
        <v>11323</v>
      </c>
    </row>
    <row r="4362" spans="1:2" ht="15">
      <c r="A4362" s="113" t="s">
        <v>8667</v>
      </c>
      <c r="B4362" s="112" t="s">
        <v>11323</v>
      </c>
    </row>
    <row r="4363" spans="1:2" ht="15">
      <c r="A4363" s="113" t="s">
        <v>8668</v>
      </c>
      <c r="B4363" s="112" t="s">
        <v>11323</v>
      </c>
    </row>
    <row r="4364" spans="1:2" ht="15">
      <c r="A4364" s="113" t="s">
        <v>8669</v>
      </c>
      <c r="B4364" s="112" t="s">
        <v>11323</v>
      </c>
    </row>
    <row r="4365" spans="1:2" ht="15">
      <c r="A4365" s="113" t="s">
        <v>8670</v>
      </c>
      <c r="B4365" s="112" t="s">
        <v>11323</v>
      </c>
    </row>
    <row r="4366" spans="1:2" ht="15">
      <c r="A4366" s="113" t="s">
        <v>8671</v>
      </c>
      <c r="B4366" s="112" t="s">
        <v>11323</v>
      </c>
    </row>
    <row r="4367" spans="1:2" ht="15">
      <c r="A4367" s="113" t="s">
        <v>8672</v>
      </c>
      <c r="B4367" s="112" t="s">
        <v>11323</v>
      </c>
    </row>
    <row r="4368" spans="1:2" ht="15">
      <c r="A4368" s="113" t="s">
        <v>8673</v>
      </c>
      <c r="B4368" s="112" t="s">
        <v>11323</v>
      </c>
    </row>
    <row r="4369" spans="1:2" ht="15">
      <c r="A4369" s="113" t="s">
        <v>8674</v>
      </c>
      <c r="B4369" s="112" t="s">
        <v>11323</v>
      </c>
    </row>
    <row r="4370" spans="1:2" ht="15">
      <c r="A4370" s="113" t="s">
        <v>8675</v>
      </c>
      <c r="B4370" s="112" t="s">
        <v>11323</v>
      </c>
    </row>
    <row r="4371" spans="1:2" ht="15">
      <c r="A4371" s="113" t="s">
        <v>8676</v>
      </c>
      <c r="B4371" s="112" t="s">
        <v>11323</v>
      </c>
    </row>
    <row r="4372" spans="1:2" ht="15">
      <c r="A4372" s="113" t="s">
        <v>8677</v>
      </c>
      <c r="B4372" s="112" t="s">
        <v>11323</v>
      </c>
    </row>
    <row r="4373" spans="1:2" ht="15">
      <c r="A4373" s="113" t="s">
        <v>8678</v>
      </c>
      <c r="B4373" s="112" t="s">
        <v>11323</v>
      </c>
    </row>
    <row r="4374" spans="1:2" ht="15">
      <c r="A4374" s="113" t="s">
        <v>8679</v>
      </c>
      <c r="B4374" s="112" t="s">
        <v>11323</v>
      </c>
    </row>
    <row r="4375" spans="1:2" ht="15">
      <c r="A4375" s="113" t="s">
        <v>8680</v>
      </c>
      <c r="B4375" s="112" t="s">
        <v>11323</v>
      </c>
    </row>
    <row r="4376" spans="1:2" ht="15">
      <c r="A4376" s="113" t="s">
        <v>8681</v>
      </c>
      <c r="B4376" s="112" t="s">
        <v>11323</v>
      </c>
    </row>
    <row r="4377" spans="1:2" ht="15">
      <c r="A4377" s="113" t="s">
        <v>8682</v>
      </c>
      <c r="B4377" s="112" t="s">
        <v>11323</v>
      </c>
    </row>
    <row r="4378" spans="1:2" ht="15">
      <c r="A4378" s="113" t="s">
        <v>8683</v>
      </c>
      <c r="B4378" s="112" t="s">
        <v>11323</v>
      </c>
    </row>
    <row r="4379" spans="1:2" ht="15">
      <c r="A4379" s="113" t="s">
        <v>8684</v>
      </c>
      <c r="B4379" s="112" t="s">
        <v>11323</v>
      </c>
    </row>
    <row r="4380" spans="1:2" ht="15">
      <c r="A4380" s="113" t="s">
        <v>8685</v>
      </c>
      <c r="B4380" s="112" t="s">
        <v>11323</v>
      </c>
    </row>
    <row r="4381" spans="1:2" ht="15">
      <c r="A4381" s="113" t="s">
        <v>8686</v>
      </c>
      <c r="B4381" s="112" t="s">
        <v>11323</v>
      </c>
    </row>
    <row r="4382" spans="1:2" ht="15">
      <c r="A4382" s="113" t="s">
        <v>8687</v>
      </c>
      <c r="B4382" s="112" t="s">
        <v>11323</v>
      </c>
    </row>
    <row r="4383" spans="1:2" ht="15">
      <c r="A4383" s="113" t="s">
        <v>8688</v>
      </c>
      <c r="B4383" s="112" t="s">
        <v>11323</v>
      </c>
    </row>
    <row r="4384" spans="1:2" ht="15">
      <c r="A4384" s="113" t="s">
        <v>8689</v>
      </c>
      <c r="B4384" s="112" t="s">
        <v>11323</v>
      </c>
    </row>
    <row r="4385" spans="1:2" ht="15">
      <c r="A4385" s="113" t="s">
        <v>8690</v>
      </c>
      <c r="B4385" s="112" t="s">
        <v>11323</v>
      </c>
    </row>
    <row r="4386" spans="1:2" ht="15">
      <c r="A4386" s="113" t="s">
        <v>8691</v>
      </c>
      <c r="B4386" s="112" t="s">
        <v>11323</v>
      </c>
    </row>
    <row r="4387" spans="1:2" ht="15">
      <c r="A4387" s="113" t="s">
        <v>8692</v>
      </c>
      <c r="B4387" s="112" t="s">
        <v>11323</v>
      </c>
    </row>
    <row r="4388" spans="1:2" ht="15">
      <c r="A4388" s="113" t="s">
        <v>8693</v>
      </c>
      <c r="B4388" s="112" t="s">
        <v>11323</v>
      </c>
    </row>
    <row r="4389" spans="1:2" ht="15">
      <c r="A4389" s="113" t="s">
        <v>8694</v>
      </c>
      <c r="B4389" s="112" t="s">
        <v>11323</v>
      </c>
    </row>
    <row r="4390" spans="1:2" ht="15">
      <c r="A4390" s="113" t="s">
        <v>8695</v>
      </c>
      <c r="B4390" s="112" t="s">
        <v>11323</v>
      </c>
    </row>
    <row r="4391" spans="1:2" ht="15">
      <c r="A4391" s="113" t="s">
        <v>8696</v>
      </c>
      <c r="B4391" s="112" t="s">
        <v>11323</v>
      </c>
    </row>
    <row r="4392" spans="1:2" ht="15">
      <c r="A4392" s="113" t="s">
        <v>8697</v>
      </c>
      <c r="B4392" s="112" t="s">
        <v>11323</v>
      </c>
    </row>
    <row r="4393" spans="1:2" ht="15">
      <c r="A4393" s="113" t="s">
        <v>8698</v>
      </c>
      <c r="B4393" s="112" t="s">
        <v>11323</v>
      </c>
    </row>
    <row r="4394" spans="1:2" ht="15">
      <c r="A4394" s="113" t="s">
        <v>8699</v>
      </c>
      <c r="B4394" s="112" t="s">
        <v>11323</v>
      </c>
    </row>
    <row r="4395" spans="1:2" ht="15">
      <c r="A4395" s="113" t="s">
        <v>8700</v>
      </c>
      <c r="B4395" s="112" t="s">
        <v>11323</v>
      </c>
    </row>
    <row r="4396" spans="1:2" ht="15">
      <c r="A4396" s="113" t="s">
        <v>8701</v>
      </c>
      <c r="B4396" s="112" t="s">
        <v>11323</v>
      </c>
    </row>
    <row r="4397" spans="1:2" ht="15">
      <c r="A4397" s="113" t="s">
        <v>8702</v>
      </c>
      <c r="B4397" s="112" t="s">
        <v>11323</v>
      </c>
    </row>
    <row r="4398" spans="1:2" ht="15">
      <c r="A4398" s="113" t="s">
        <v>8703</v>
      </c>
      <c r="B4398" s="112" t="s">
        <v>11323</v>
      </c>
    </row>
    <row r="4399" spans="1:2" ht="15">
      <c r="A4399" s="113" t="s">
        <v>8704</v>
      </c>
      <c r="B4399" s="112" t="s">
        <v>11323</v>
      </c>
    </row>
    <row r="4400" spans="1:2" ht="15">
      <c r="A4400" s="113" t="s">
        <v>8705</v>
      </c>
      <c r="B4400" s="112" t="s">
        <v>11323</v>
      </c>
    </row>
    <row r="4401" spans="1:2" ht="15">
      <c r="A4401" s="113" t="s">
        <v>8706</v>
      </c>
      <c r="B4401" s="112" t="s">
        <v>11323</v>
      </c>
    </row>
    <row r="4402" spans="1:2" ht="15">
      <c r="A4402" s="113" t="s">
        <v>8707</v>
      </c>
      <c r="B4402" s="112" t="s">
        <v>11323</v>
      </c>
    </row>
    <row r="4403" spans="1:2" ht="15">
      <c r="A4403" s="113" t="s">
        <v>8708</v>
      </c>
      <c r="B4403" s="112" t="s">
        <v>11323</v>
      </c>
    </row>
    <row r="4404" spans="1:2" ht="15">
      <c r="A4404" s="113" t="s">
        <v>8709</v>
      </c>
      <c r="B4404" s="112" t="s">
        <v>11323</v>
      </c>
    </row>
    <row r="4405" spans="1:2" ht="15">
      <c r="A4405" s="113" t="s">
        <v>8710</v>
      </c>
      <c r="B4405" s="112" t="s">
        <v>11323</v>
      </c>
    </row>
    <row r="4406" spans="1:2" ht="15">
      <c r="A4406" s="113" t="s">
        <v>8711</v>
      </c>
      <c r="B4406" s="112" t="s">
        <v>11323</v>
      </c>
    </row>
    <row r="4407" spans="1:2" ht="15">
      <c r="A4407" s="113" t="s">
        <v>8712</v>
      </c>
      <c r="B4407" s="112" t="s">
        <v>11323</v>
      </c>
    </row>
    <row r="4408" spans="1:2" ht="15">
      <c r="A4408" s="113" t="s">
        <v>8713</v>
      </c>
      <c r="B4408" s="112" t="s">
        <v>11323</v>
      </c>
    </row>
    <row r="4409" spans="1:2" ht="15">
      <c r="A4409" s="113" t="s">
        <v>8714</v>
      </c>
      <c r="B4409" s="112" t="s">
        <v>11323</v>
      </c>
    </row>
    <row r="4410" spans="1:2" ht="15">
      <c r="A4410" s="113" t="s">
        <v>8715</v>
      </c>
      <c r="B4410" s="112" t="s">
        <v>11323</v>
      </c>
    </row>
    <row r="4411" spans="1:2" ht="15">
      <c r="A4411" s="113" t="s">
        <v>8716</v>
      </c>
      <c r="B4411" s="112" t="s">
        <v>11323</v>
      </c>
    </row>
    <row r="4412" spans="1:2" ht="15">
      <c r="A4412" s="113" t="s">
        <v>8717</v>
      </c>
      <c r="B4412" s="112" t="s">
        <v>11323</v>
      </c>
    </row>
    <row r="4413" spans="1:2" ht="15">
      <c r="A4413" s="113" t="s">
        <v>8718</v>
      </c>
      <c r="B4413" s="112" t="s">
        <v>11323</v>
      </c>
    </row>
    <row r="4414" spans="1:2" ht="15">
      <c r="A4414" s="113" t="s">
        <v>8719</v>
      </c>
      <c r="B4414" s="112" t="s">
        <v>11323</v>
      </c>
    </row>
    <row r="4415" spans="1:2" ht="15">
      <c r="A4415" s="113" t="s">
        <v>8720</v>
      </c>
      <c r="B4415" s="112" t="s">
        <v>11323</v>
      </c>
    </row>
    <row r="4416" spans="1:2" ht="15">
      <c r="A4416" s="113" t="s">
        <v>8721</v>
      </c>
      <c r="B4416" s="112" t="s">
        <v>11323</v>
      </c>
    </row>
    <row r="4417" spans="1:2" ht="15">
      <c r="A4417" s="113" t="s">
        <v>8722</v>
      </c>
      <c r="B4417" s="112" t="s">
        <v>11323</v>
      </c>
    </row>
    <row r="4418" spans="1:2" ht="15">
      <c r="A4418" s="113" t="s">
        <v>8723</v>
      </c>
      <c r="B4418" s="112" t="s">
        <v>11323</v>
      </c>
    </row>
    <row r="4419" spans="1:2" ht="15">
      <c r="A4419" s="113" t="s">
        <v>8724</v>
      </c>
      <c r="B4419" s="112" t="s">
        <v>11323</v>
      </c>
    </row>
    <row r="4420" spans="1:2" ht="15">
      <c r="A4420" s="113" t="s">
        <v>8725</v>
      </c>
      <c r="B4420" s="112" t="s">
        <v>11323</v>
      </c>
    </row>
    <row r="4421" spans="1:2" ht="15">
      <c r="A4421" s="113" t="s">
        <v>8726</v>
      </c>
      <c r="B4421" s="112" t="s">
        <v>11323</v>
      </c>
    </row>
    <row r="4422" spans="1:2" ht="15">
      <c r="A4422" s="113" t="s">
        <v>8727</v>
      </c>
      <c r="B4422" s="112" t="s">
        <v>11323</v>
      </c>
    </row>
    <row r="4423" spans="1:2" ht="15">
      <c r="A4423" s="113" t="s">
        <v>8728</v>
      </c>
      <c r="B4423" s="112" t="s">
        <v>11323</v>
      </c>
    </row>
    <row r="4424" spans="1:2" ht="15">
      <c r="A4424" s="113" t="s">
        <v>8729</v>
      </c>
      <c r="B4424" s="112" t="s">
        <v>11323</v>
      </c>
    </row>
    <row r="4425" spans="1:2" ht="15">
      <c r="A4425" s="113" t="s">
        <v>8730</v>
      </c>
      <c r="B4425" s="112" t="s">
        <v>11323</v>
      </c>
    </row>
    <row r="4426" spans="1:2" ht="15">
      <c r="A4426" s="113" t="s">
        <v>8731</v>
      </c>
      <c r="B4426" s="112" t="s">
        <v>11323</v>
      </c>
    </row>
    <row r="4427" spans="1:2" ht="15">
      <c r="A4427" s="113" t="s">
        <v>8732</v>
      </c>
      <c r="B4427" s="112" t="s">
        <v>11323</v>
      </c>
    </row>
    <row r="4428" spans="1:2" ht="15">
      <c r="A4428" s="113" t="s">
        <v>8733</v>
      </c>
      <c r="B4428" s="112" t="s">
        <v>11323</v>
      </c>
    </row>
    <row r="4429" spans="1:2" ht="15">
      <c r="A4429" s="113" t="s">
        <v>8734</v>
      </c>
      <c r="B4429" s="112" t="s">
        <v>11323</v>
      </c>
    </row>
    <row r="4430" spans="1:2" ht="15">
      <c r="A4430" s="113" t="s">
        <v>8735</v>
      </c>
      <c r="B4430" s="112" t="s">
        <v>11323</v>
      </c>
    </row>
    <row r="4431" spans="1:2" ht="15">
      <c r="A4431" s="113" t="s">
        <v>8736</v>
      </c>
      <c r="B4431" s="112" t="s">
        <v>11323</v>
      </c>
    </row>
    <row r="4432" spans="1:2" ht="15">
      <c r="A4432" s="113" t="s">
        <v>8737</v>
      </c>
      <c r="B4432" s="112" t="s">
        <v>11323</v>
      </c>
    </row>
    <row r="4433" spans="1:2" ht="15">
      <c r="A4433" s="113" t="s">
        <v>8738</v>
      </c>
      <c r="B4433" s="112" t="s">
        <v>11323</v>
      </c>
    </row>
    <row r="4434" spans="1:2" ht="15">
      <c r="A4434" s="113" t="s">
        <v>8739</v>
      </c>
      <c r="B4434" s="112" t="s">
        <v>11323</v>
      </c>
    </row>
    <row r="4435" spans="1:2" ht="15">
      <c r="A4435" s="113" t="s">
        <v>8740</v>
      </c>
      <c r="B4435" s="112" t="s">
        <v>11323</v>
      </c>
    </row>
    <row r="4436" spans="1:2" ht="15">
      <c r="A4436" s="113" t="s">
        <v>8741</v>
      </c>
      <c r="B4436" s="112" t="s">
        <v>11323</v>
      </c>
    </row>
    <row r="4437" spans="1:2" ht="15">
      <c r="A4437" s="113" t="s">
        <v>8742</v>
      </c>
      <c r="B4437" s="112" t="s">
        <v>11323</v>
      </c>
    </row>
    <row r="4438" spans="1:2" ht="15">
      <c r="A4438" s="113" t="s">
        <v>8743</v>
      </c>
      <c r="B4438" s="112" t="s">
        <v>11323</v>
      </c>
    </row>
    <row r="4439" spans="1:2" ht="15">
      <c r="A4439" s="113" t="s">
        <v>8744</v>
      </c>
      <c r="B4439" s="112" t="s">
        <v>11323</v>
      </c>
    </row>
    <row r="4440" spans="1:2" ht="15">
      <c r="A4440" s="113" t="s">
        <v>8745</v>
      </c>
      <c r="B4440" s="112" t="s">
        <v>11323</v>
      </c>
    </row>
    <row r="4441" spans="1:2" ht="15">
      <c r="A4441" s="113" t="s">
        <v>8746</v>
      </c>
      <c r="B4441" s="112" t="s">
        <v>11323</v>
      </c>
    </row>
    <row r="4442" spans="1:2" ht="15">
      <c r="A4442" s="113" t="s">
        <v>8747</v>
      </c>
      <c r="B4442" s="112" t="s">
        <v>11323</v>
      </c>
    </row>
    <row r="4443" spans="1:2" ht="15">
      <c r="A4443" s="113" t="s">
        <v>8748</v>
      </c>
      <c r="B4443" s="112" t="s">
        <v>11323</v>
      </c>
    </row>
    <row r="4444" spans="1:2" ht="15">
      <c r="A4444" s="113" t="s">
        <v>8749</v>
      </c>
      <c r="B4444" s="112" t="s">
        <v>11323</v>
      </c>
    </row>
    <row r="4445" spans="1:2" ht="15">
      <c r="A4445" s="113" t="s">
        <v>8750</v>
      </c>
      <c r="B4445" s="112" t="s">
        <v>11323</v>
      </c>
    </row>
    <row r="4446" spans="1:2" ht="15">
      <c r="A4446" s="113" t="s">
        <v>8751</v>
      </c>
      <c r="B4446" s="112" t="s">
        <v>11323</v>
      </c>
    </row>
    <row r="4447" spans="1:2" ht="15">
      <c r="A4447" s="113" t="s">
        <v>8752</v>
      </c>
      <c r="B4447" s="112" t="s">
        <v>11323</v>
      </c>
    </row>
    <row r="4448" spans="1:2" ht="15">
      <c r="A4448" s="113" t="s">
        <v>8753</v>
      </c>
      <c r="B4448" s="112" t="s">
        <v>11323</v>
      </c>
    </row>
    <row r="4449" spans="1:2" ht="15">
      <c r="A4449" s="113" t="s">
        <v>8754</v>
      </c>
      <c r="B4449" s="112" t="s">
        <v>11323</v>
      </c>
    </row>
    <row r="4450" spans="1:2" ht="15">
      <c r="A4450" s="113" t="s">
        <v>8755</v>
      </c>
      <c r="B4450" s="112" t="s">
        <v>11323</v>
      </c>
    </row>
    <row r="4451" spans="1:2" ht="15">
      <c r="A4451" s="113" t="s">
        <v>8756</v>
      </c>
      <c r="B4451" s="112" t="s">
        <v>11323</v>
      </c>
    </row>
    <row r="4452" spans="1:2" ht="15">
      <c r="A4452" s="113" t="s">
        <v>8757</v>
      </c>
      <c r="B4452" s="112" t="s">
        <v>11323</v>
      </c>
    </row>
    <row r="4453" spans="1:2" ht="15">
      <c r="A4453" s="113" t="s">
        <v>8758</v>
      </c>
      <c r="B4453" s="112" t="s">
        <v>11323</v>
      </c>
    </row>
    <row r="4454" spans="1:2" ht="15">
      <c r="A4454" s="113" t="s">
        <v>8759</v>
      </c>
      <c r="B4454" s="112" t="s">
        <v>11323</v>
      </c>
    </row>
    <row r="4455" spans="1:2" ht="15">
      <c r="A4455" s="113" t="s">
        <v>8760</v>
      </c>
      <c r="B4455" s="112" t="s">
        <v>11323</v>
      </c>
    </row>
    <row r="4456" spans="1:2" ht="15">
      <c r="A4456" s="113" t="s">
        <v>8761</v>
      </c>
      <c r="B4456" s="112" t="s">
        <v>11323</v>
      </c>
    </row>
    <row r="4457" spans="1:2" ht="15">
      <c r="A4457" s="113" t="s">
        <v>8762</v>
      </c>
      <c r="B4457" s="112" t="s">
        <v>11323</v>
      </c>
    </row>
    <row r="4458" spans="1:2" ht="15">
      <c r="A4458" s="113" t="s">
        <v>8763</v>
      </c>
      <c r="B4458" s="112" t="s">
        <v>11323</v>
      </c>
    </row>
    <row r="4459" spans="1:2" ht="15">
      <c r="A4459" s="113" t="s">
        <v>8764</v>
      </c>
      <c r="B4459" s="112" t="s">
        <v>11323</v>
      </c>
    </row>
    <row r="4460" spans="1:2" ht="15">
      <c r="A4460" s="113" t="s">
        <v>8765</v>
      </c>
      <c r="B4460" s="112" t="s">
        <v>11323</v>
      </c>
    </row>
    <row r="4461" spans="1:2" ht="15">
      <c r="A4461" s="113" t="s">
        <v>8766</v>
      </c>
      <c r="B4461" s="112" t="s">
        <v>11323</v>
      </c>
    </row>
    <row r="4462" spans="1:2" ht="15">
      <c r="A4462" s="113" t="s">
        <v>8767</v>
      </c>
      <c r="B4462" s="112" t="s">
        <v>11323</v>
      </c>
    </row>
    <row r="4463" spans="1:2" ht="15">
      <c r="A4463" s="113" t="s">
        <v>8768</v>
      </c>
      <c r="B4463" s="112" t="s">
        <v>11323</v>
      </c>
    </row>
    <row r="4464" spans="1:2" ht="15">
      <c r="A4464" s="113" t="s">
        <v>8769</v>
      </c>
      <c r="B4464" s="112" t="s">
        <v>11323</v>
      </c>
    </row>
    <row r="4465" spans="1:2" ht="15">
      <c r="A4465" s="113" t="s">
        <v>8770</v>
      </c>
      <c r="B4465" s="112" t="s">
        <v>11323</v>
      </c>
    </row>
    <row r="4466" spans="1:2" ht="15">
      <c r="A4466" s="113" t="s">
        <v>8771</v>
      </c>
      <c r="B4466" s="112" t="s">
        <v>11323</v>
      </c>
    </row>
    <row r="4467" spans="1:2" ht="15">
      <c r="A4467" s="113" t="s">
        <v>8772</v>
      </c>
      <c r="B4467" s="112" t="s">
        <v>11323</v>
      </c>
    </row>
    <row r="4468" spans="1:2" ht="15">
      <c r="A4468" s="113" t="s">
        <v>8773</v>
      </c>
      <c r="B4468" s="112" t="s">
        <v>11323</v>
      </c>
    </row>
    <row r="4469" spans="1:2" ht="15">
      <c r="A4469" s="113" t="s">
        <v>8774</v>
      </c>
      <c r="B4469" s="112" t="s">
        <v>11323</v>
      </c>
    </row>
    <row r="4470" spans="1:2" ht="15">
      <c r="A4470" s="113" t="s">
        <v>8775</v>
      </c>
      <c r="B4470" s="112" t="s">
        <v>11323</v>
      </c>
    </row>
    <row r="4471" spans="1:2" ht="15">
      <c r="A4471" s="113" t="s">
        <v>8776</v>
      </c>
      <c r="B4471" s="112" t="s">
        <v>11323</v>
      </c>
    </row>
    <row r="4472" spans="1:2" ht="15">
      <c r="A4472" s="113" t="s">
        <v>8777</v>
      </c>
      <c r="B4472" s="112" t="s">
        <v>11323</v>
      </c>
    </row>
    <row r="4473" spans="1:2" ht="15">
      <c r="A4473" s="113" t="s">
        <v>8778</v>
      </c>
      <c r="B4473" s="112" t="s">
        <v>11323</v>
      </c>
    </row>
    <row r="4474" spans="1:2" ht="15">
      <c r="A4474" s="113" t="s">
        <v>8779</v>
      </c>
      <c r="B4474" s="112" t="s">
        <v>11323</v>
      </c>
    </row>
    <row r="4475" spans="1:2" ht="15">
      <c r="A4475" s="113" t="s">
        <v>8780</v>
      </c>
      <c r="B4475" s="112" t="s">
        <v>11323</v>
      </c>
    </row>
    <row r="4476" spans="1:2" ht="15">
      <c r="A4476" s="113" t="s">
        <v>8781</v>
      </c>
      <c r="B4476" s="112" t="s">
        <v>11323</v>
      </c>
    </row>
    <row r="4477" spans="1:2" ht="15">
      <c r="A4477" s="113" t="s">
        <v>8782</v>
      </c>
      <c r="B4477" s="112" t="s">
        <v>11323</v>
      </c>
    </row>
    <row r="4478" spans="1:2" ht="15">
      <c r="A4478" s="113" t="s">
        <v>8783</v>
      </c>
      <c r="B4478" s="112" t="s">
        <v>11323</v>
      </c>
    </row>
    <row r="4479" spans="1:2" ht="15">
      <c r="A4479" s="113" t="s">
        <v>8784</v>
      </c>
      <c r="B4479" s="112" t="s">
        <v>11323</v>
      </c>
    </row>
    <row r="4480" spans="1:2" ht="15">
      <c r="A4480" s="113" t="s">
        <v>8785</v>
      </c>
      <c r="B4480" s="112" t="s">
        <v>11323</v>
      </c>
    </row>
    <row r="4481" spans="1:2" ht="15">
      <c r="A4481" s="113" t="s">
        <v>8786</v>
      </c>
      <c r="B4481" s="112" t="s">
        <v>11323</v>
      </c>
    </row>
    <row r="4482" spans="1:2" ht="15">
      <c r="A4482" s="113" t="s">
        <v>8787</v>
      </c>
      <c r="B4482" s="112" t="s">
        <v>11323</v>
      </c>
    </row>
    <row r="4483" spans="1:2" ht="15">
      <c r="A4483" s="113" t="s">
        <v>8788</v>
      </c>
      <c r="B4483" s="112" t="s">
        <v>11323</v>
      </c>
    </row>
    <row r="4484" spans="1:2" ht="15">
      <c r="A4484" s="113" t="s">
        <v>8789</v>
      </c>
      <c r="B4484" s="112" t="s">
        <v>11323</v>
      </c>
    </row>
    <row r="4485" spans="1:2" ht="15">
      <c r="A4485" s="113" t="s">
        <v>8790</v>
      </c>
      <c r="B4485" s="112" t="s">
        <v>11323</v>
      </c>
    </row>
    <row r="4486" spans="1:2" ht="15">
      <c r="A4486" s="113" t="s">
        <v>8791</v>
      </c>
      <c r="B4486" s="112" t="s">
        <v>11323</v>
      </c>
    </row>
    <row r="4487" spans="1:2" ht="15">
      <c r="A4487" s="113" t="s">
        <v>8792</v>
      </c>
      <c r="B4487" s="112" t="s">
        <v>11323</v>
      </c>
    </row>
    <row r="4488" spans="1:2" ht="15">
      <c r="A4488" s="113" t="s">
        <v>8793</v>
      </c>
      <c r="B4488" s="112" t="s">
        <v>11323</v>
      </c>
    </row>
    <row r="4489" spans="1:2" ht="15">
      <c r="A4489" s="113" t="s">
        <v>8794</v>
      </c>
      <c r="B4489" s="112" t="s">
        <v>11323</v>
      </c>
    </row>
    <row r="4490" spans="1:2" ht="15">
      <c r="A4490" s="113" t="s">
        <v>8795</v>
      </c>
      <c r="B4490" s="112" t="s">
        <v>11323</v>
      </c>
    </row>
    <row r="4491" spans="1:2" ht="15">
      <c r="A4491" s="113" t="s">
        <v>8796</v>
      </c>
      <c r="B4491" s="112" t="s">
        <v>11323</v>
      </c>
    </row>
    <row r="4492" spans="1:2" ht="15">
      <c r="A4492" s="113" t="s">
        <v>8797</v>
      </c>
      <c r="B4492" s="112" t="s">
        <v>11323</v>
      </c>
    </row>
    <row r="4493" spans="1:2" ht="15">
      <c r="A4493" s="113" t="s">
        <v>8798</v>
      </c>
      <c r="B4493" s="112" t="s">
        <v>11323</v>
      </c>
    </row>
    <row r="4494" spans="1:2" ht="15">
      <c r="A4494" s="113" t="s">
        <v>8799</v>
      </c>
      <c r="B4494" s="112" t="s">
        <v>11323</v>
      </c>
    </row>
    <row r="4495" spans="1:2" ht="15">
      <c r="A4495" s="113" t="s">
        <v>8800</v>
      </c>
      <c r="B4495" s="112" t="s">
        <v>11323</v>
      </c>
    </row>
    <row r="4496" spans="1:2" ht="15">
      <c r="A4496" s="113" t="s">
        <v>8801</v>
      </c>
      <c r="B4496" s="112" t="s">
        <v>11323</v>
      </c>
    </row>
    <row r="4497" spans="1:2" ht="15">
      <c r="A4497" s="113" t="s">
        <v>8802</v>
      </c>
      <c r="B4497" s="112" t="s">
        <v>11323</v>
      </c>
    </row>
    <row r="4498" spans="1:2" ht="15">
      <c r="A4498" s="113" t="s">
        <v>8803</v>
      </c>
      <c r="B4498" s="112" t="s">
        <v>11323</v>
      </c>
    </row>
    <row r="4499" spans="1:2" ht="15">
      <c r="A4499" s="113" t="s">
        <v>8804</v>
      </c>
      <c r="B4499" s="112" t="s">
        <v>11323</v>
      </c>
    </row>
    <row r="4500" spans="1:2" ht="15">
      <c r="A4500" s="113" t="s">
        <v>8805</v>
      </c>
      <c r="B4500" s="112" t="s">
        <v>11323</v>
      </c>
    </row>
    <row r="4501" spans="1:2" ht="15">
      <c r="A4501" s="113" t="s">
        <v>8806</v>
      </c>
      <c r="B4501" s="112" t="s">
        <v>11323</v>
      </c>
    </row>
    <row r="4502" spans="1:2" ht="15">
      <c r="A4502" s="113" t="s">
        <v>8807</v>
      </c>
      <c r="B4502" s="112" t="s">
        <v>11323</v>
      </c>
    </row>
    <row r="4503" spans="1:2" ht="15">
      <c r="A4503" s="113" t="s">
        <v>8808</v>
      </c>
      <c r="B4503" s="112" t="s">
        <v>11323</v>
      </c>
    </row>
    <row r="4504" spans="1:2" ht="15">
      <c r="A4504" s="113" t="s">
        <v>8809</v>
      </c>
      <c r="B4504" s="112" t="s">
        <v>11323</v>
      </c>
    </row>
    <row r="4505" spans="1:2" ht="15">
      <c r="A4505" s="113" t="s">
        <v>8810</v>
      </c>
      <c r="B4505" s="112" t="s">
        <v>11323</v>
      </c>
    </row>
    <row r="4506" spans="1:2" ht="15">
      <c r="A4506" s="113" t="s">
        <v>8811</v>
      </c>
      <c r="B4506" s="112" t="s">
        <v>11323</v>
      </c>
    </row>
    <row r="4507" spans="1:2" ht="15">
      <c r="A4507" s="113" t="s">
        <v>8812</v>
      </c>
      <c r="B4507" s="112" t="s">
        <v>11323</v>
      </c>
    </row>
    <row r="4508" spans="1:2" ht="15">
      <c r="A4508" s="113" t="s">
        <v>8813</v>
      </c>
      <c r="B4508" s="112" t="s">
        <v>11323</v>
      </c>
    </row>
    <row r="4509" spans="1:2" ht="15">
      <c r="A4509" s="113" t="s">
        <v>8814</v>
      </c>
      <c r="B4509" s="112" t="s">
        <v>11323</v>
      </c>
    </row>
    <row r="4510" spans="1:2" ht="15">
      <c r="A4510" s="113" t="s">
        <v>8815</v>
      </c>
      <c r="B4510" s="112" t="s">
        <v>11323</v>
      </c>
    </row>
    <row r="4511" spans="1:2" ht="15">
      <c r="A4511" s="113" t="s">
        <v>8816</v>
      </c>
      <c r="B4511" s="112" t="s">
        <v>11323</v>
      </c>
    </row>
    <row r="4512" spans="1:2" ht="15">
      <c r="A4512" s="113" t="s">
        <v>8817</v>
      </c>
      <c r="B4512" s="112" t="s">
        <v>11323</v>
      </c>
    </row>
    <row r="4513" spans="1:2" ht="15">
      <c r="A4513" s="113" t="s">
        <v>8818</v>
      </c>
      <c r="B4513" s="112" t="s">
        <v>11323</v>
      </c>
    </row>
    <row r="4514" spans="1:2" ht="15">
      <c r="A4514" s="113" t="s">
        <v>8819</v>
      </c>
      <c r="B4514" s="112" t="s">
        <v>11323</v>
      </c>
    </row>
    <row r="4515" spans="1:2" ht="15">
      <c r="A4515" s="113" t="s">
        <v>8820</v>
      </c>
      <c r="B4515" s="112" t="s">
        <v>11323</v>
      </c>
    </row>
    <row r="4516" spans="1:2" ht="15">
      <c r="A4516" s="113" t="s">
        <v>8821</v>
      </c>
      <c r="B4516" s="112" t="s">
        <v>11323</v>
      </c>
    </row>
    <row r="4517" spans="1:2" ht="15">
      <c r="A4517" s="113" t="s">
        <v>8822</v>
      </c>
      <c r="B4517" s="112" t="s">
        <v>11323</v>
      </c>
    </row>
    <row r="4518" spans="1:2" ht="15">
      <c r="A4518" s="113" t="s">
        <v>8823</v>
      </c>
      <c r="B4518" s="112" t="s">
        <v>11323</v>
      </c>
    </row>
    <row r="4519" spans="1:2" ht="15">
      <c r="A4519" s="113" t="s">
        <v>8824</v>
      </c>
      <c r="B4519" s="112" t="s">
        <v>11323</v>
      </c>
    </row>
    <row r="4520" spans="1:2" ht="15">
      <c r="A4520" s="113" t="s">
        <v>8825</v>
      </c>
      <c r="B4520" s="112" t="s">
        <v>11323</v>
      </c>
    </row>
    <row r="4521" spans="1:2" ht="15">
      <c r="A4521" s="113" t="s">
        <v>8826</v>
      </c>
      <c r="B4521" s="112" t="s">
        <v>11323</v>
      </c>
    </row>
    <row r="4522" spans="1:2" ht="15">
      <c r="A4522" s="113" t="s">
        <v>8827</v>
      </c>
      <c r="B4522" s="112" t="s">
        <v>11323</v>
      </c>
    </row>
    <row r="4523" spans="1:2" ht="15">
      <c r="A4523" s="113" t="s">
        <v>8828</v>
      </c>
      <c r="B4523" s="112" t="s">
        <v>11323</v>
      </c>
    </row>
    <row r="4524" spans="1:2" ht="15">
      <c r="A4524" s="113" t="s">
        <v>8829</v>
      </c>
      <c r="B4524" s="112" t="s">
        <v>11323</v>
      </c>
    </row>
    <row r="4525" spans="1:2" ht="15">
      <c r="A4525" s="113" t="s">
        <v>8830</v>
      </c>
      <c r="B4525" s="112" t="s">
        <v>11323</v>
      </c>
    </row>
    <row r="4526" spans="1:2" ht="15">
      <c r="A4526" s="113" t="s">
        <v>8831</v>
      </c>
      <c r="B4526" s="112" t="s">
        <v>11323</v>
      </c>
    </row>
    <row r="4527" spans="1:2" ht="15">
      <c r="A4527" s="113" t="s">
        <v>8832</v>
      </c>
      <c r="B4527" s="112" t="s">
        <v>11323</v>
      </c>
    </row>
    <row r="4528" spans="1:2" ht="15">
      <c r="A4528" s="113" t="s">
        <v>8833</v>
      </c>
      <c r="B4528" s="112" t="s">
        <v>11323</v>
      </c>
    </row>
    <row r="4529" spans="1:2" ht="15">
      <c r="A4529" s="113" t="s">
        <v>8834</v>
      </c>
      <c r="B4529" s="112" t="s">
        <v>11323</v>
      </c>
    </row>
    <row r="4530" spans="1:2" ht="15">
      <c r="A4530" s="113" t="s">
        <v>8835</v>
      </c>
      <c r="B4530" s="112" t="s">
        <v>11323</v>
      </c>
    </row>
    <row r="4531" spans="1:2" ht="15">
      <c r="A4531" s="113" t="s">
        <v>8836</v>
      </c>
      <c r="B4531" s="112" t="s">
        <v>11323</v>
      </c>
    </row>
    <row r="4532" spans="1:2" ht="15">
      <c r="A4532" s="113" t="s">
        <v>8837</v>
      </c>
      <c r="B4532" s="112" t="s">
        <v>11323</v>
      </c>
    </row>
    <row r="4533" spans="1:2" ht="15">
      <c r="A4533" s="113" t="s">
        <v>8838</v>
      </c>
      <c r="B4533" s="112" t="s">
        <v>11323</v>
      </c>
    </row>
    <row r="4534" spans="1:2" ht="15">
      <c r="A4534" s="113" t="s">
        <v>8839</v>
      </c>
      <c r="B4534" s="112" t="s">
        <v>11323</v>
      </c>
    </row>
    <row r="4535" spans="1:2" ht="15">
      <c r="A4535" s="113" t="s">
        <v>8840</v>
      </c>
      <c r="B4535" s="112" t="s">
        <v>11323</v>
      </c>
    </row>
    <row r="4536" spans="1:2" ht="15">
      <c r="A4536" s="113" t="s">
        <v>8841</v>
      </c>
      <c r="B4536" s="112" t="s">
        <v>11323</v>
      </c>
    </row>
    <row r="4537" spans="1:2" ht="15">
      <c r="A4537" s="113" t="s">
        <v>8842</v>
      </c>
      <c r="B4537" s="112" t="s">
        <v>11323</v>
      </c>
    </row>
    <row r="4538" spans="1:2" ht="15">
      <c r="A4538" s="113" t="s">
        <v>8843</v>
      </c>
      <c r="B4538" s="112" t="s">
        <v>11323</v>
      </c>
    </row>
    <row r="4539" spans="1:2" ht="15">
      <c r="A4539" s="113" t="s">
        <v>8844</v>
      </c>
      <c r="B4539" s="112" t="s">
        <v>11323</v>
      </c>
    </row>
    <row r="4540" spans="1:2" ht="15">
      <c r="A4540" s="113" t="s">
        <v>8845</v>
      </c>
      <c r="B4540" s="112" t="s">
        <v>11323</v>
      </c>
    </row>
    <row r="4541" spans="1:2" ht="15">
      <c r="A4541" s="113" t="s">
        <v>8846</v>
      </c>
      <c r="B4541" s="112" t="s">
        <v>11323</v>
      </c>
    </row>
    <row r="4542" spans="1:2" ht="15">
      <c r="A4542" s="113" t="s">
        <v>8847</v>
      </c>
      <c r="B4542" s="112" t="s">
        <v>11323</v>
      </c>
    </row>
    <row r="4543" spans="1:2" ht="15">
      <c r="A4543" s="113" t="s">
        <v>8848</v>
      </c>
      <c r="B4543" s="112" t="s">
        <v>11323</v>
      </c>
    </row>
    <row r="4544" spans="1:2" ht="15">
      <c r="A4544" s="113" t="s">
        <v>8849</v>
      </c>
      <c r="B4544" s="112" t="s">
        <v>11323</v>
      </c>
    </row>
    <row r="4545" spans="1:2" ht="15">
      <c r="A4545" s="113" t="s">
        <v>8850</v>
      </c>
      <c r="B4545" s="112" t="s">
        <v>11323</v>
      </c>
    </row>
    <row r="4546" spans="1:2" ht="15">
      <c r="A4546" s="113" t="s">
        <v>8851</v>
      </c>
      <c r="B4546" s="112" t="s">
        <v>11323</v>
      </c>
    </row>
    <row r="4547" spans="1:2" ht="15">
      <c r="A4547" s="113" t="s">
        <v>8852</v>
      </c>
      <c r="B4547" s="112" t="s">
        <v>11323</v>
      </c>
    </row>
    <row r="4548" spans="1:2" ht="15">
      <c r="A4548" s="113" t="s">
        <v>8853</v>
      </c>
      <c r="B4548" s="112" t="s">
        <v>11323</v>
      </c>
    </row>
    <row r="4549" spans="1:2" ht="15">
      <c r="A4549" s="113" t="s">
        <v>8854</v>
      </c>
      <c r="B4549" s="112" t="s">
        <v>11323</v>
      </c>
    </row>
    <row r="4550" spans="1:2" ht="15">
      <c r="A4550" s="113" t="s">
        <v>8855</v>
      </c>
      <c r="B4550" s="112" t="s">
        <v>11323</v>
      </c>
    </row>
    <row r="4551" spans="1:2" ht="15">
      <c r="A4551" s="113" t="s">
        <v>8856</v>
      </c>
      <c r="B4551" s="112" t="s">
        <v>11323</v>
      </c>
    </row>
    <row r="4552" spans="1:2" ht="15">
      <c r="A4552" s="113" t="s">
        <v>8857</v>
      </c>
      <c r="B4552" s="112" t="s">
        <v>11323</v>
      </c>
    </row>
    <row r="4553" spans="1:2" ht="15">
      <c r="A4553" s="113" t="s">
        <v>8858</v>
      </c>
      <c r="B4553" s="112" t="s">
        <v>11323</v>
      </c>
    </row>
    <row r="4554" spans="1:2" ht="15">
      <c r="A4554" s="113" t="s">
        <v>8859</v>
      </c>
      <c r="B4554" s="112" t="s">
        <v>11323</v>
      </c>
    </row>
    <row r="4555" spans="1:2" ht="15">
      <c r="A4555" s="113" t="s">
        <v>8860</v>
      </c>
      <c r="B4555" s="112" t="s">
        <v>11323</v>
      </c>
    </row>
    <row r="4556" spans="1:2" ht="15">
      <c r="A4556" s="113" t="s">
        <v>8861</v>
      </c>
      <c r="B4556" s="112" t="s">
        <v>11323</v>
      </c>
    </row>
    <row r="4557" spans="1:2" ht="15">
      <c r="A4557" s="113" t="s">
        <v>8862</v>
      </c>
      <c r="B4557" s="112" t="s">
        <v>11323</v>
      </c>
    </row>
    <row r="4558" spans="1:2" ht="15">
      <c r="A4558" s="113" t="s">
        <v>8863</v>
      </c>
      <c r="B4558" s="112" t="s">
        <v>11323</v>
      </c>
    </row>
    <row r="4559" spans="1:2" ht="15">
      <c r="A4559" s="113" t="s">
        <v>8864</v>
      </c>
      <c r="B4559" s="112" t="s">
        <v>11323</v>
      </c>
    </row>
    <row r="4560" spans="1:2" ht="15">
      <c r="A4560" s="113" t="s">
        <v>8865</v>
      </c>
      <c r="B4560" s="112" t="s">
        <v>11323</v>
      </c>
    </row>
    <row r="4561" spans="1:2" ht="15">
      <c r="A4561" s="113" t="s">
        <v>8866</v>
      </c>
      <c r="B4561" s="112" t="s">
        <v>11323</v>
      </c>
    </row>
    <row r="4562" spans="1:2" ht="15">
      <c r="A4562" s="113" t="s">
        <v>8867</v>
      </c>
      <c r="B4562" s="112" t="s">
        <v>11323</v>
      </c>
    </row>
    <row r="4563" spans="1:2" ht="15">
      <c r="A4563" s="113" t="s">
        <v>8868</v>
      </c>
      <c r="B4563" s="112" t="s">
        <v>11323</v>
      </c>
    </row>
    <row r="4564" spans="1:2" ht="15">
      <c r="A4564" s="113" t="s">
        <v>8869</v>
      </c>
      <c r="B4564" s="112" t="s">
        <v>11323</v>
      </c>
    </row>
    <row r="4565" spans="1:2" ht="15">
      <c r="A4565" s="113" t="s">
        <v>8870</v>
      </c>
      <c r="B4565" s="112" t="s">
        <v>11323</v>
      </c>
    </row>
    <row r="4566" spans="1:2" ht="15">
      <c r="A4566" s="113" t="s">
        <v>8871</v>
      </c>
      <c r="B4566" s="112" t="s">
        <v>11323</v>
      </c>
    </row>
    <row r="4567" spans="1:2" ht="15">
      <c r="A4567" s="113" t="s">
        <v>8872</v>
      </c>
      <c r="B4567" s="112" t="s">
        <v>11323</v>
      </c>
    </row>
    <row r="4568" spans="1:2" ht="15">
      <c r="A4568" s="113" t="s">
        <v>8873</v>
      </c>
      <c r="B4568" s="112" t="s">
        <v>11323</v>
      </c>
    </row>
    <row r="4569" spans="1:2" ht="15">
      <c r="A4569" s="113" t="s">
        <v>8874</v>
      </c>
      <c r="B4569" s="112" t="s">
        <v>11323</v>
      </c>
    </row>
    <row r="4570" spans="1:2" ht="15">
      <c r="A4570" s="113" t="s">
        <v>8875</v>
      </c>
      <c r="B4570" s="112" t="s">
        <v>11323</v>
      </c>
    </row>
    <row r="4571" spans="1:2" ht="15">
      <c r="A4571" s="113" t="s">
        <v>8876</v>
      </c>
      <c r="B4571" s="112" t="s">
        <v>11323</v>
      </c>
    </row>
    <row r="4572" spans="1:2" ht="15">
      <c r="A4572" s="113" t="s">
        <v>8877</v>
      </c>
      <c r="B4572" s="112" t="s">
        <v>11323</v>
      </c>
    </row>
    <row r="4573" spans="1:2" ht="15">
      <c r="A4573" s="113" t="s">
        <v>8878</v>
      </c>
      <c r="B4573" s="112" t="s">
        <v>11323</v>
      </c>
    </row>
    <row r="4574" spans="1:2" ht="15">
      <c r="A4574" s="113" t="s">
        <v>8879</v>
      </c>
      <c r="B4574" s="112" t="s">
        <v>11323</v>
      </c>
    </row>
    <row r="4575" spans="1:2" ht="15">
      <c r="A4575" s="113" t="s">
        <v>8880</v>
      </c>
      <c r="B4575" s="112" t="s">
        <v>11323</v>
      </c>
    </row>
    <row r="4576" spans="1:2" ht="15">
      <c r="A4576" s="113" t="s">
        <v>8881</v>
      </c>
      <c r="B4576" s="112" t="s">
        <v>11323</v>
      </c>
    </row>
    <row r="4577" spans="1:2" ht="15">
      <c r="A4577" s="113" t="s">
        <v>8882</v>
      </c>
      <c r="B4577" s="112" t="s">
        <v>11323</v>
      </c>
    </row>
    <row r="4578" spans="1:2" ht="15">
      <c r="A4578" s="113" t="s">
        <v>8883</v>
      </c>
      <c r="B4578" s="112" t="s">
        <v>11323</v>
      </c>
    </row>
    <row r="4579" spans="1:2" ht="15">
      <c r="A4579" s="113" t="s">
        <v>8884</v>
      </c>
      <c r="B4579" s="112" t="s">
        <v>11323</v>
      </c>
    </row>
    <row r="4580" spans="1:2" ht="15">
      <c r="A4580" s="113" t="s">
        <v>8885</v>
      </c>
      <c r="B4580" s="112" t="s">
        <v>11323</v>
      </c>
    </row>
    <row r="4581" spans="1:2" ht="15">
      <c r="A4581" s="113" t="s">
        <v>8886</v>
      </c>
      <c r="B4581" s="112" t="s">
        <v>11323</v>
      </c>
    </row>
    <row r="4582" spans="1:2" ht="15">
      <c r="A4582" s="113" t="s">
        <v>8887</v>
      </c>
      <c r="B4582" s="112" t="s">
        <v>11323</v>
      </c>
    </row>
    <row r="4583" spans="1:2" ht="15">
      <c r="A4583" s="113" t="s">
        <v>8888</v>
      </c>
      <c r="B4583" s="112" t="s">
        <v>11323</v>
      </c>
    </row>
    <row r="4584" spans="1:2" ht="15">
      <c r="A4584" s="113" t="s">
        <v>8889</v>
      </c>
      <c r="B4584" s="112" t="s">
        <v>11323</v>
      </c>
    </row>
    <row r="4585" spans="1:2" ht="15">
      <c r="A4585" s="113" t="s">
        <v>8890</v>
      </c>
      <c r="B4585" s="112" t="s">
        <v>11323</v>
      </c>
    </row>
    <row r="4586" spans="1:2" ht="15">
      <c r="A4586" s="113" t="s">
        <v>8891</v>
      </c>
      <c r="B4586" s="112" t="s">
        <v>11323</v>
      </c>
    </row>
    <row r="4587" spans="1:2" ht="15">
      <c r="A4587" s="113" t="s">
        <v>8892</v>
      </c>
      <c r="B4587" s="112" t="s">
        <v>11323</v>
      </c>
    </row>
    <row r="4588" spans="1:2" ht="15">
      <c r="A4588" s="113" t="s">
        <v>8893</v>
      </c>
      <c r="B4588" s="112" t="s">
        <v>11323</v>
      </c>
    </row>
    <row r="4589" spans="1:2" ht="15">
      <c r="A4589" s="113" t="s">
        <v>8894</v>
      </c>
      <c r="B4589" s="112" t="s">
        <v>11323</v>
      </c>
    </row>
    <row r="4590" spans="1:2" ht="15">
      <c r="A4590" s="113" t="s">
        <v>8895</v>
      </c>
      <c r="B4590" s="112" t="s">
        <v>11323</v>
      </c>
    </row>
    <row r="4591" spans="1:2" ht="15">
      <c r="A4591" s="113" t="s">
        <v>8896</v>
      </c>
      <c r="B4591" s="112" t="s">
        <v>11323</v>
      </c>
    </row>
    <row r="4592" spans="1:2" ht="15">
      <c r="A4592" s="113" t="s">
        <v>8897</v>
      </c>
      <c r="B4592" s="112" t="s">
        <v>11323</v>
      </c>
    </row>
    <row r="4593" spans="1:2" ht="15">
      <c r="A4593" s="113" t="s">
        <v>8898</v>
      </c>
      <c r="B4593" s="112" t="s">
        <v>11323</v>
      </c>
    </row>
    <row r="4594" spans="1:2" ht="15">
      <c r="A4594" s="113" t="s">
        <v>8899</v>
      </c>
      <c r="B4594" s="112" t="s">
        <v>11323</v>
      </c>
    </row>
    <row r="4595" spans="1:2" ht="15">
      <c r="A4595" s="113" t="s">
        <v>8900</v>
      </c>
      <c r="B4595" s="112" t="s">
        <v>11323</v>
      </c>
    </row>
    <row r="4596" spans="1:2" ht="15">
      <c r="A4596" s="113" t="s">
        <v>8901</v>
      </c>
      <c r="B4596" s="112" t="s">
        <v>11323</v>
      </c>
    </row>
    <row r="4597" spans="1:2" ht="15">
      <c r="A4597" s="113" t="s">
        <v>8902</v>
      </c>
      <c r="B4597" s="112" t="s">
        <v>11323</v>
      </c>
    </row>
    <row r="4598" spans="1:2" ht="15">
      <c r="A4598" s="113" t="s">
        <v>8903</v>
      </c>
      <c r="B4598" s="112" t="s">
        <v>11323</v>
      </c>
    </row>
    <row r="4599" spans="1:2" ht="15">
      <c r="A4599" s="113" t="s">
        <v>8904</v>
      </c>
      <c r="B4599" s="112" t="s">
        <v>11323</v>
      </c>
    </row>
    <row r="4600" spans="1:2" ht="15">
      <c r="A4600" s="113" t="s">
        <v>8905</v>
      </c>
      <c r="B4600" s="112" t="s">
        <v>11323</v>
      </c>
    </row>
    <row r="4601" spans="1:2" ht="15">
      <c r="A4601" s="113" t="s">
        <v>8906</v>
      </c>
      <c r="B4601" s="112" t="s">
        <v>11323</v>
      </c>
    </row>
    <row r="4602" spans="1:2" ht="15">
      <c r="A4602" s="113" t="s">
        <v>8907</v>
      </c>
      <c r="B4602" s="112" t="s">
        <v>11323</v>
      </c>
    </row>
    <row r="4603" spans="1:2" ht="15">
      <c r="A4603" s="113" t="s">
        <v>8908</v>
      </c>
      <c r="B4603" s="112" t="s">
        <v>11323</v>
      </c>
    </row>
    <row r="4604" spans="1:2" ht="15">
      <c r="A4604" s="113" t="s">
        <v>8909</v>
      </c>
      <c r="B4604" s="112" t="s">
        <v>11323</v>
      </c>
    </row>
    <row r="4605" spans="1:2" ht="15">
      <c r="A4605" s="113" t="s">
        <v>8910</v>
      </c>
      <c r="B4605" s="112" t="s">
        <v>11323</v>
      </c>
    </row>
    <row r="4606" spans="1:2" ht="15">
      <c r="A4606" s="113" t="s">
        <v>8911</v>
      </c>
      <c r="B4606" s="112" t="s">
        <v>11323</v>
      </c>
    </row>
    <row r="4607" spans="1:2" ht="15">
      <c r="A4607" s="113" t="s">
        <v>8912</v>
      </c>
      <c r="B4607" s="112" t="s">
        <v>11323</v>
      </c>
    </row>
    <row r="4608" spans="1:2" ht="15">
      <c r="A4608" s="113" t="s">
        <v>8913</v>
      </c>
      <c r="B4608" s="112" t="s">
        <v>11323</v>
      </c>
    </row>
    <row r="4609" spans="1:2" ht="15">
      <c r="A4609" s="113" t="s">
        <v>8914</v>
      </c>
      <c r="B4609" s="112" t="s">
        <v>11323</v>
      </c>
    </row>
    <row r="4610" spans="1:2" ht="15">
      <c r="A4610" s="113" t="s">
        <v>8915</v>
      </c>
      <c r="B4610" s="112" t="s">
        <v>11323</v>
      </c>
    </row>
    <row r="4611" spans="1:2" ht="15">
      <c r="A4611" s="113" t="s">
        <v>8916</v>
      </c>
      <c r="B4611" s="112" t="s">
        <v>11323</v>
      </c>
    </row>
    <row r="4612" spans="1:2" ht="15">
      <c r="A4612" s="113" t="s">
        <v>8917</v>
      </c>
      <c r="B4612" s="112" t="s">
        <v>11323</v>
      </c>
    </row>
    <row r="4613" spans="1:2" ht="15">
      <c r="A4613" s="113" t="s">
        <v>8918</v>
      </c>
      <c r="B4613" s="112" t="s">
        <v>11323</v>
      </c>
    </row>
    <row r="4614" spans="1:2" ht="15">
      <c r="A4614" s="113" t="s">
        <v>8919</v>
      </c>
      <c r="B4614" s="112" t="s">
        <v>11323</v>
      </c>
    </row>
    <row r="4615" spans="1:2" ht="15">
      <c r="A4615" s="113" t="s">
        <v>8920</v>
      </c>
      <c r="B4615" s="112" t="s">
        <v>11323</v>
      </c>
    </row>
    <row r="4616" spans="1:2" ht="15">
      <c r="A4616" s="113" t="s">
        <v>8921</v>
      </c>
      <c r="B4616" s="112" t="s">
        <v>11323</v>
      </c>
    </row>
    <row r="4617" spans="1:2" ht="15">
      <c r="A4617" s="113" t="s">
        <v>8922</v>
      </c>
      <c r="B4617" s="112" t="s">
        <v>11323</v>
      </c>
    </row>
    <row r="4618" spans="1:2" ht="15">
      <c r="A4618" s="113" t="s">
        <v>8923</v>
      </c>
      <c r="B4618" s="112" t="s">
        <v>11323</v>
      </c>
    </row>
    <row r="4619" spans="1:2" ht="15">
      <c r="A4619" s="113" t="s">
        <v>8924</v>
      </c>
      <c r="B4619" s="112" t="s">
        <v>11323</v>
      </c>
    </row>
    <row r="4620" spans="1:2" ht="15">
      <c r="A4620" s="113" t="s">
        <v>8925</v>
      </c>
      <c r="B4620" s="112" t="s">
        <v>11323</v>
      </c>
    </row>
    <row r="4621" spans="1:2" ht="15">
      <c r="A4621" s="113" t="s">
        <v>8926</v>
      </c>
      <c r="B4621" s="112" t="s">
        <v>11323</v>
      </c>
    </row>
    <row r="4622" spans="1:2" ht="15">
      <c r="A4622" s="113" t="s">
        <v>8927</v>
      </c>
      <c r="B4622" s="112" t="s">
        <v>11323</v>
      </c>
    </row>
    <row r="4623" spans="1:2" ht="15">
      <c r="A4623" s="113" t="s">
        <v>8928</v>
      </c>
      <c r="B4623" s="112" t="s">
        <v>11323</v>
      </c>
    </row>
    <row r="4624" spans="1:2" ht="15">
      <c r="A4624" s="113" t="s">
        <v>8929</v>
      </c>
      <c r="B4624" s="112" t="s">
        <v>11323</v>
      </c>
    </row>
    <row r="4625" spans="1:2" ht="15">
      <c r="A4625" s="113" t="s">
        <v>8930</v>
      </c>
      <c r="B4625" s="112" t="s">
        <v>11323</v>
      </c>
    </row>
    <row r="4626" spans="1:2" ht="15">
      <c r="A4626" s="113" t="s">
        <v>8931</v>
      </c>
      <c r="B4626" s="112" t="s">
        <v>11323</v>
      </c>
    </row>
    <row r="4627" spans="1:2" ht="15">
      <c r="A4627" s="113" t="s">
        <v>8932</v>
      </c>
      <c r="B4627" s="112" t="s">
        <v>11323</v>
      </c>
    </row>
    <row r="4628" spans="1:2" ht="15">
      <c r="A4628" s="113" t="s">
        <v>8933</v>
      </c>
      <c r="B4628" s="112" t="s">
        <v>11323</v>
      </c>
    </row>
    <row r="4629" spans="1:2" ht="15">
      <c r="A4629" s="113" t="s">
        <v>8934</v>
      </c>
      <c r="B4629" s="112" t="s">
        <v>11323</v>
      </c>
    </row>
    <row r="4630" spans="1:2" ht="15">
      <c r="A4630" s="113" t="s">
        <v>8935</v>
      </c>
      <c r="B4630" s="112" t="s">
        <v>11323</v>
      </c>
    </row>
    <row r="4631" spans="1:2" ht="15">
      <c r="A4631" s="113" t="s">
        <v>8936</v>
      </c>
      <c r="B4631" s="112" t="s">
        <v>11323</v>
      </c>
    </row>
    <row r="4632" spans="1:2" ht="15">
      <c r="A4632" s="113" t="s">
        <v>8937</v>
      </c>
      <c r="B4632" s="112" t="s">
        <v>11323</v>
      </c>
    </row>
    <row r="4633" spans="1:2" ht="15">
      <c r="A4633" s="113" t="s">
        <v>8938</v>
      </c>
      <c r="B4633" s="112" t="s">
        <v>11323</v>
      </c>
    </row>
    <row r="4634" spans="1:2" ht="15">
      <c r="A4634" s="113" t="s">
        <v>8939</v>
      </c>
      <c r="B4634" s="112" t="s">
        <v>11323</v>
      </c>
    </row>
    <row r="4635" spans="1:2" ht="15">
      <c r="A4635" s="113" t="s">
        <v>8940</v>
      </c>
      <c r="B4635" s="112" t="s">
        <v>11323</v>
      </c>
    </row>
    <row r="4636" spans="1:2" ht="15">
      <c r="A4636" s="113" t="s">
        <v>8941</v>
      </c>
      <c r="B4636" s="112" t="s">
        <v>11323</v>
      </c>
    </row>
    <row r="4637" spans="1:2" ht="15">
      <c r="A4637" s="113" t="s">
        <v>8942</v>
      </c>
      <c r="B4637" s="112" t="s">
        <v>11323</v>
      </c>
    </row>
    <row r="4638" spans="1:2" ht="15">
      <c r="A4638" s="113" t="s">
        <v>8943</v>
      </c>
      <c r="B4638" s="112" t="s">
        <v>11323</v>
      </c>
    </row>
    <row r="4639" spans="1:2" ht="15">
      <c r="A4639" s="113" t="s">
        <v>8944</v>
      </c>
      <c r="B4639" s="112" t="s">
        <v>11323</v>
      </c>
    </row>
    <row r="4640" spans="1:2" ht="15">
      <c r="A4640" s="113" t="s">
        <v>8945</v>
      </c>
      <c r="B4640" s="112" t="s">
        <v>11323</v>
      </c>
    </row>
    <row r="4641" spans="1:2" ht="15">
      <c r="A4641" s="113" t="s">
        <v>8946</v>
      </c>
      <c r="B4641" s="112" t="s">
        <v>11323</v>
      </c>
    </row>
    <row r="4642" spans="1:2" ht="15">
      <c r="A4642" s="113" t="s">
        <v>8947</v>
      </c>
      <c r="B4642" s="112" t="s">
        <v>11323</v>
      </c>
    </row>
    <row r="4643" spans="1:2" ht="15">
      <c r="A4643" s="113" t="s">
        <v>8948</v>
      </c>
      <c r="B4643" s="112" t="s">
        <v>11323</v>
      </c>
    </row>
    <row r="4644" spans="1:2" ht="15">
      <c r="A4644" s="113" t="s">
        <v>8949</v>
      </c>
      <c r="B4644" s="112" t="s">
        <v>11323</v>
      </c>
    </row>
    <row r="4645" spans="1:2" ht="15">
      <c r="A4645" s="113" t="s">
        <v>8950</v>
      </c>
      <c r="B4645" s="112" t="s">
        <v>11323</v>
      </c>
    </row>
    <row r="4646" spans="1:2" ht="15">
      <c r="A4646" s="113" t="s">
        <v>8951</v>
      </c>
      <c r="B4646" s="112" t="s">
        <v>11323</v>
      </c>
    </row>
    <row r="4647" spans="1:2" ht="15">
      <c r="A4647" s="113" t="s">
        <v>8952</v>
      </c>
      <c r="B4647" s="112" t="s">
        <v>11323</v>
      </c>
    </row>
    <row r="4648" spans="1:2" ht="15">
      <c r="A4648" s="113" t="s">
        <v>8953</v>
      </c>
      <c r="B4648" s="112" t="s">
        <v>11323</v>
      </c>
    </row>
    <row r="4649" spans="1:2" ht="15">
      <c r="A4649" s="113" t="s">
        <v>8954</v>
      </c>
      <c r="B4649" s="112" t="s">
        <v>11323</v>
      </c>
    </row>
    <row r="4650" spans="1:2" ht="15">
      <c r="A4650" s="113" t="s">
        <v>8955</v>
      </c>
      <c r="B4650" s="112" t="s">
        <v>11323</v>
      </c>
    </row>
    <row r="4651" spans="1:2" ht="15">
      <c r="A4651" s="113" t="s">
        <v>8956</v>
      </c>
      <c r="B4651" s="112" t="s">
        <v>11323</v>
      </c>
    </row>
    <row r="4652" spans="1:2" ht="15">
      <c r="A4652" s="113" t="s">
        <v>8957</v>
      </c>
      <c r="B4652" s="112" t="s">
        <v>11323</v>
      </c>
    </row>
    <row r="4653" spans="1:2" ht="15">
      <c r="A4653" s="113" t="s">
        <v>8958</v>
      </c>
      <c r="B4653" s="112" t="s">
        <v>11323</v>
      </c>
    </row>
    <row r="4654" spans="1:2" ht="15">
      <c r="A4654" s="113" t="s">
        <v>8959</v>
      </c>
      <c r="B4654" s="112" t="s">
        <v>11323</v>
      </c>
    </row>
    <row r="4655" spans="1:2" ht="15">
      <c r="A4655" s="113" t="s">
        <v>8960</v>
      </c>
      <c r="B4655" s="112" t="s">
        <v>11323</v>
      </c>
    </row>
    <row r="4656" spans="1:2" ht="15">
      <c r="A4656" s="113" t="s">
        <v>8961</v>
      </c>
      <c r="B4656" s="112" t="s">
        <v>11323</v>
      </c>
    </row>
    <row r="4657" spans="1:2" ht="15">
      <c r="A4657" s="113" t="s">
        <v>8962</v>
      </c>
      <c r="B4657" s="112" t="s">
        <v>11323</v>
      </c>
    </row>
    <row r="4658" spans="1:2" ht="15">
      <c r="A4658" s="113" t="s">
        <v>8963</v>
      </c>
      <c r="B4658" s="112" t="s">
        <v>11323</v>
      </c>
    </row>
    <row r="4659" spans="1:2" ht="15">
      <c r="A4659" s="113" t="s">
        <v>8964</v>
      </c>
      <c r="B4659" s="112" t="s">
        <v>11323</v>
      </c>
    </row>
    <row r="4660" spans="1:2" ht="15">
      <c r="A4660" s="113" t="s">
        <v>8965</v>
      </c>
      <c r="B4660" s="112" t="s">
        <v>11323</v>
      </c>
    </row>
    <row r="4661" spans="1:2" ht="15">
      <c r="A4661" s="113" t="s">
        <v>8966</v>
      </c>
      <c r="B4661" s="112" t="s">
        <v>11323</v>
      </c>
    </row>
    <row r="4662" spans="1:2" ht="15">
      <c r="A4662" s="113" t="s">
        <v>8967</v>
      </c>
      <c r="B4662" s="112" t="s">
        <v>11323</v>
      </c>
    </row>
    <row r="4663" spans="1:2" ht="15">
      <c r="A4663" s="113" t="s">
        <v>8968</v>
      </c>
      <c r="B4663" s="112" t="s">
        <v>11323</v>
      </c>
    </row>
    <row r="4664" spans="1:2" ht="15">
      <c r="A4664" s="113" t="s">
        <v>8969</v>
      </c>
      <c r="B4664" s="112" t="s">
        <v>11323</v>
      </c>
    </row>
    <row r="4665" spans="1:2" ht="15">
      <c r="A4665" s="113" t="s">
        <v>8970</v>
      </c>
      <c r="B4665" s="112" t="s">
        <v>11323</v>
      </c>
    </row>
    <row r="4666" spans="1:2" ht="15">
      <c r="A4666" s="113" t="s">
        <v>8971</v>
      </c>
      <c r="B4666" s="112" t="s">
        <v>11323</v>
      </c>
    </row>
    <row r="4667" spans="1:2" ht="15">
      <c r="A4667" s="113" t="s">
        <v>8972</v>
      </c>
      <c r="B4667" s="112" t="s">
        <v>11323</v>
      </c>
    </row>
    <row r="4668" spans="1:2" ht="15">
      <c r="A4668" s="113" t="s">
        <v>8973</v>
      </c>
      <c r="B4668" s="112" t="s">
        <v>11323</v>
      </c>
    </row>
    <row r="4669" spans="1:2" ht="15">
      <c r="A4669" s="113" t="s">
        <v>8974</v>
      </c>
      <c r="B4669" s="112" t="s">
        <v>11323</v>
      </c>
    </row>
    <row r="4670" spans="1:2" ht="15">
      <c r="A4670" s="113" t="s">
        <v>8975</v>
      </c>
      <c r="B4670" s="112" t="s">
        <v>11323</v>
      </c>
    </row>
    <row r="4671" spans="1:2" ht="15">
      <c r="A4671" s="113" t="s">
        <v>8976</v>
      </c>
      <c r="B4671" s="112" t="s">
        <v>11323</v>
      </c>
    </row>
    <row r="4672" spans="1:2" ht="15">
      <c r="A4672" s="113" t="s">
        <v>8977</v>
      </c>
      <c r="B4672" s="112" t="s">
        <v>11323</v>
      </c>
    </row>
    <row r="4673" spans="1:2" ht="15">
      <c r="A4673" s="113" t="s">
        <v>8978</v>
      </c>
      <c r="B4673" s="112" t="s">
        <v>11323</v>
      </c>
    </row>
    <row r="4674" spans="1:2" ht="15">
      <c r="A4674" s="113" t="s">
        <v>8979</v>
      </c>
      <c r="B4674" s="112" t="s">
        <v>11323</v>
      </c>
    </row>
    <row r="4675" spans="1:2" ht="15">
      <c r="A4675" s="113" t="s">
        <v>8980</v>
      </c>
      <c r="B4675" s="112" t="s">
        <v>11323</v>
      </c>
    </row>
    <row r="4676" spans="1:2" ht="15">
      <c r="A4676" s="113" t="s">
        <v>8981</v>
      </c>
      <c r="B4676" s="112" t="s">
        <v>11323</v>
      </c>
    </row>
    <row r="4677" spans="1:2" ht="15">
      <c r="A4677" s="113" t="s">
        <v>8982</v>
      </c>
      <c r="B4677" s="112" t="s">
        <v>11323</v>
      </c>
    </row>
    <row r="4678" spans="1:2" ht="15">
      <c r="A4678" s="113" t="s">
        <v>8983</v>
      </c>
      <c r="B4678" s="112" t="s">
        <v>11323</v>
      </c>
    </row>
    <row r="4679" spans="1:2" ht="15">
      <c r="A4679" s="113" t="s">
        <v>8984</v>
      </c>
      <c r="B4679" s="112" t="s">
        <v>11323</v>
      </c>
    </row>
    <row r="4680" spans="1:2" ht="15">
      <c r="A4680" s="113" t="s">
        <v>8985</v>
      </c>
      <c r="B4680" s="112" t="s">
        <v>11323</v>
      </c>
    </row>
    <row r="4681" spans="1:2" ht="15">
      <c r="A4681" s="113" t="s">
        <v>8986</v>
      </c>
      <c r="B4681" s="112" t="s">
        <v>11323</v>
      </c>
    </row>
    <row r="4682" spans="1:2" ht="15">
      <c r="A4682" s="113" t="s">
        <v>8987</v>
      </c>
      <c r="B4682" s="112" t="s">
        <v>11323</v>
      </c>
    </row>
    <row r="4683" spans="1:2" ht="15">
      <c r="A4683" s="113" t="s">
        <v>8988</v>
      </c>
      <c r="B4683" s="112" t="s">
        <v>11323</v>
      </c>
    </row>
    <row r="4684" spans="1:2" ht="15">
      <c r="A4684" s="113" t="s">
        <v>8989</v>
      </c>
      <c r="B4684" s="112" t="s">
        <v>11323</v>
      </c>
    </row>
    <row r="4685" spans="1:2" ht="15">
      <c r="A4685" s="113" t="s">
        <v>8990</v>
      </c>
      <c r="B4685" s="112" t="s">
        <v>11323</v>
      </c>
    </row>
    <row r="4686" spans="1:2" ht="15">
      <c r="A4686" s="113" t="s">
        <v>8991</v>
      </c>
      <c r="B4686" s="112" t="s">
        <v>11323</v>
      </c>
    </row>
    <row r="4687" spans="1:2" ht="15">
      <c r="A4687" s="113" t="s">
        <v>8992</v>
      </c>
      <c r="B4687" s="112" t="s">
        <v>11323</v>
      </c>
    </row>
    <row r="4688" spans="1:2" ht="15">
      <c r="A4688" s="113" t="s">
        <v>8993</v>
      </c>
      <c r="B4688" s="112" t="s">
        <v>11323</v>
      </c>
    </row>
    <row r="4689" spans="1:2" ht="15">
      <c r="A4689" s="113" t="s">
        <v>8994</v>
      </c>
      <c r="B4689" s="112" t="s">
        <v>11323</v>
      </c>
    </row>
    <row r="4690" spans="1:2" ht="15">
      <c r="A4690" s="113" t="s">
        <v>8995</v>
      </c>
      <c r="B4690" s="112" t="s">
        <v>11323</v>
      </c>
    </row>
    <row r="4691" spans="1:2" ht="15">
      <c r="A4691" s="113" t="s">
        <v>8996</v>
      </c>
      <c r="B4691" s="112" t="s">
        <v>11323</v>
      </c>
    </row>
    <row r="4692" spans="1:2" ht="15">
      <c r="A4692" s="113" t="s">
        <v>8997</v>
      </c>
      <c r="B4692" s="112" t="s">
        <v>11323</v>
      </c>
    </row>
    <row r="4693" spans="1:2" ht="15">
      <c r="A4693" s="113" t="s">
        <v>8998</v>
      </c>
      <c r="B4693" s="112" t="s">
        <v>11323</v>
      </c>
    </row>
    <row r="4694" spans="1:2" ht="15">
      <c r="A4694" s="113" t="s">
        <v>8999</v>
      </c>
      <c r="B4694" s="112" t="s">
        <v>11323</v>
      </c>
    </row>
    <row r="4695" spans="1:2" ht="15">
      <c r="A4695" s="113" t="s">
        <v>9000</v>
      </c>
      <c r="B4695" s="112" t="s">
        <v>11323</v>
      </c>
    </row>
    <row r="4696" spans="1:2" ht="15">
      <c r="A4696" s="113" t="s">
        <v>9001</v>
      </c>
      <c r="B4696" s="112" t="s">
        <v>11323</v>
      </c>
    </row>
    <row r="4697" spans="1:2" ht="15">
      <c r="A4697" s="113" t="s">
        <v>9002</v>
      </c>
      <c r="B4697" s="112" t="s">
        <v>11323</v>
      </c>
    </row>
    <row r="4698" spans="1:2" ht="15">
      <c r="A4698" s="113" t="s">
        <v>9003</v>
      </c>
      <c r="B4698" s="112" t="s">
        <v>11323</v>
      </c>
    </row>
    <row r="4699" spans="1:2" ht="15">
      <c r="A4699" s="113" t="s">
        <v>9004</v>
      </c>
      <c r="B4699" s="112" t="s">
        <v>11323</v>
      </c>
    </row>
    <row r="4700" spans="1:2" ht="15">
      <c r="A4700" s="113" t="s">
        <v>9005</v>
      </c>
      <c r="B4700" s="112" t="s">
        <v>11323</v>
      </c>
    </row>
    <row r="4701" spans="1:2" ht="15">
      <c r="A4701" s="113" t="s">
        <v>9006</v>
      </c>
      <c r="B4701" s="112" t="s">
        <v>11323</v>
      </c>
    </row>
    <row r="4702" spans="1:2" ht="15">
      <c r="A4702" s="113" t="s">
        <v>9007</v>
      </c>
      <c r="B4702" s="112" t="s">
        <v>11323</v>
      </c>
    </row>
    <row r="4703" spans="1:2" ht="15">
      <c r="A4703" s="113" t="s">
        <v>9008</v>
      </c>
      <c r="B4703" s="112" t="s">
        <v>11323</v>
      </c>
    </row>
    <row r="4704" spans="1:2" ht="15">
      <c r="A4704" s="113" t="s">
        <v>9009</v>
      </c>
      <c r="B4704" s="112" t="s">
        <v>11323</v>
      </c>
    </row>
    <row r="4705" spans="1:2" ht="15">
      <c r="A4705" s="113" t="s">
        <v>9010</v>
      </c>
      <c r="B4705" s="112" t="s">
        <v>11323</v>
      </c>
    </row>
    <row r="4706" spans="1:2" ht="15">
      <c r="A4706" s="113" t="s">
        <v>9011</v>
      </c>
      <c r="B4706" s="112" t="s">
        <v>11323</v>
      </c>
    </row>
    <row r="4707" spans="1:2" ht="15">
      <c r="A4707" s="113" t="s">
        <v>9012</v>
      </c>
      <c r="B4707" s="112" t="s">
        <v>11323</v>
      </c>
    </row>
    <row r="4708" spans="1:2" ht="15">
      <c r="A4708" s="113" t="s">
        <v>9013</v>
      </c>
      <c r="B4708" s="112" t="s">
        <v>11323</v>
      </c>
    </row>
    <row r="4709" spans="1:2" ht="15">
      <c r="A4709" s="113" t="s">
        <v>9014</v>
      </c>
      <c r="B4709" s="112" t="s">
        <v>11323</v>
      </c>
    </row>
    <row r="4710" spans="1:2" ht="15">
      <c r="A4710" s="113" t="s">
        <v>9015</v>
      </c>
      <c r="B4710" s="112" t="s">
        <v>11323</v>
      </c>
    </row>
    <row r="4711" spans="1:2" ht="15">
      <c r="A4711" s="113" t="s">
        <v>9016</v>
      </c>
      <c r="B4711" s="112" t="s">
        <v>11323</v>
      </c>
    </row>
    <row r="4712" spans="1:2" ht="15">
      <c r="A4712" s="113" t="s">
        <v>9017</v>
      </c>
      <c r="B4712" s="112" t="s">
        <v>11323</v>
      </c>
    </row>
    <row r="4713" spans="1:2" ht="15">
      <c r="A4713" s="113" t="s">
        <v>9018</v>
      </c>
      <c r="B4713" s="112" t="s">
        <v>11323</v>
      </c>
    </row>
    <row r="4714" spans="1:2" ht="15">
      <c r="A4714" s="113" t="s">
        <v>9019</v>
      </c>
      <c r="B4714" s="112" t="s">
        <v>11323</v>
      </c>
    </row>
    <row r="4715" spans="1:2" ht="15">
      <c r="A4715" s="113" t="s">
        <v>9020</v>
      </c>
      <c r="B4715" s="112" t="s">
        <v>11323</v>
      </c>
    </row>
    <row r="4716" spans="1:2" ht="15">
      <c r="A4716" s="113" t="s">
        <v>9021</v>
      </c>
      <c r="B4716" s="112" t="s">
        <v>11323</v>
      </c>
    </row>
    <row r="4717" spans="1:2" ht="15">
      <c r="A4717" s="113" t="s">
        <v>9022</v>
      </c>
      <c r="B4717" s="112" t="s">
        <v>11323</v>
      </c>
    </row>
    <row r="4718" spans="1:2" ht="15">
      <c r="A4718" s="113" t="s">
        <v>9023</v>
      </c>
      <c r="B4718" s="112" t="s">
        <v>11323</v>
      </c>
    </row>
    <row r="4719" spans="1:2" ht="15">
      <c r="A4719" s="113" t="s">
        <v>9024</v>
      </c>
      <c r="B4719" s="112" t="s">
        <v>11323</v>
      </c>
    </row>
    <row r="4720" spans="1:2" ht="15">
      <c r="A4720" s="113" t="s">
        <v>9025</v>
      </c>
      <c r="B4720" s="112" t="s">
        <v>11323</v>
      </c>
    </row>
    <row r="4721" spans="1:2" ht="15">
      <c r="A4721" s="113" t="s">
        <v>9026</v>
      </c>
      <c r="B4721" s="112" t="s">
        <v>11323</v>
      </c>
    </row>
    <row r="4722" spans="1:2" ht="15">
      <c r="A4722" s="113" t="s">
        <v>9027</v>
      </c>
      <c r="B4722" s="112" t="s">
        <v>11323</v>
      </c>
    </row>
    <row r="4723" spans="1:2" ht="15">
      <c r="A4723" s="113" t="s">
        <v>9028</v>
      </c>
      <c r="B4723" s="112" t="s">
        <v>11323</v>
      </c>
    </row>
    <row r="4724" spans="1:2" ht="15">
      <c r="A4724" s="113" t="s">
        <v>9029</v>
      </c>
      <c r="B4724" s="112" t="s">
        <v>11323</v>
      </c>
    </row>
    <row r="4725" spans="1:2" ht="15">
      <c r="A4725" s="113" t="s">
        <v>9030</v>
      </c>
      <c r="B4725" s="112" t="s">
        <v>11323</v>
      </c>
    </row>
    <row r="4726" spans="1:2" ht="15">
      <c r="A4726" s="113" t="s">
        <v>9031</v>
      </c>
      <c r="B4726" s="112" t="s">
        <v>11323</v>
      </c>
    </row>
    <row r="4727" spans="1:2" ht="15">
      <c r="A4727" s="113" t="s">
        <v>9032</v>
      </c>
      <c r="B4727" s="112" t="s">
        <v>11323</v>
      </c>
    </row>
    <row r="4728" spans="1:2" ht="15">
      <c r="A4728" s="113" t="s">
        <v>9033</v>
      </c>
      <c r="B4728" s="112" t="s">
        <v>11323</v>
      </c>
    </row>
    <row r="4729" spans="1:2" ht="15">
      <c r="A4729" s="113" t="s">
        <v>9034</v>
      </c>
      <c r="B4729" s="112" t="s">
        <v>11323</v>
      </c>
    </row>
    <row r="4730" spans="1:2" ht="15">
      <c r="A4730" s="113" t="s">
        <v>9035</v>
      </c>
      <c r="B4730" s="112" t="s">
        <v>11323</v>
      </c>
    </row>
    <row r="4731" spans="1:2" ht="15">
      <c r="A4731" s="113" t="s">
        <v>9036</v>
      </c>
      <c r="B4731" s="112" t="s">
        <v>11323</v>
      </c>
    </row>
    <row r="4732" spans="1:2" ht="15">
      <c r="A4732" s="113" t="s">
        <v>9037</v>
      </c>
      <c r="B4732" s="112" t="s">
        <v>11323</v>
      </c>
    </row>
    <row r="4733" spans="1:2" ht="15">
      <c r="A4733" s="113" t="s">
        <v>9038</v>
      </c>
      <c r="B4733" s="112" t="s">
        <v>11323</v>
      </c>
    </row>
    <row r="4734" spans="1:2" ht="15">
      <c r="A4734" s="113" t="s">
        <v>9039</v>
      </c>
      <c r="B4734" s="112" t="s">
        <v>11323</v>
      </c>
    </row>
    <row r="4735" spans="1:2" ht="15">
      <c r="A4735" s="113" t="s">
        <v>9040</v>
      </c>
      <c r="B4735" s="112" t="s">
        <v>11323</v>
      </c>
    </row>
    <row r="4736" spans="1:2" ht="15">
      <c r="A4736" s="113" t="s">
        <v>9041</v>
      </c>
      <c r="B4736" s="112" t="s">
        <v>11323</v>
      </c>
    </row>
    <row r="4737" spans="1:2" ht="15">
      <c r="A4737" s="113" t="s">
        <v>9042</v>
      </c>
      <c r="B4737" s="112" t="s">
        <v>11323</v>
      </c>
    </row>
    <row r="4738" spans="1:2" ht="15">
      <c r="A4738" s="113" t="s">
        <v>9043</v>
      </c>
      <c r="B4738" s="112" t="s">
        <v>11323</v>
      </c>
    </row>
    <row r="4739" spans="1:2" ht="15">
      <c r="A4739" s="113" t="s">
        <v>9044</v>
      </c>
      <c r="B4739" s="112" t="s">
        <v>11323</v>
      </c>
    </row>
    <row r="4740" spans="1:2" ht="15">
      <c r="A4740" s="113" t="s">
        <v>9045</v>
      </c>
      <c r="B4740" s="112" t="s">
        <v>11323</v>
      </c>
    </row>
    <row r="4741" spans="1:2" ht="15">
      <c r="A4741" s="113" t="s">
        <v>9046</v>
      </c>
      <c r="B4741" s="112" t="s">
        <v>11323</v>
      </c>
    </row>
    <row r="4742" spans="1:2" ht="15">
      <c r="A4742" s="113" t="s">
        <v>9047</v>
      </c>
      <c r="B4742" s="112" t="s">
        <v>11323</v>
      </c>
    </row>
    <row r="4743" spans="1:2" ht="15">
      <c r="A4743" s="113" t="s">
        <v>9048</v>
      </c>
      <c r="B4743" s="112" t="s">
        <v>11323</v>
      </c>
    </row>
    <row r="4744" spans="1:2" ht="15">
      <c r="A4744" s="113" t="s">
        <v>9049</v>
      </c>
      <c r="B4744" s="112" t="s">
        <v>11323</v>
      </c>
    </row>
    <row r="4745" spans="1:2" ht="15">
      <c r="A4745" s="113" t="s">
        <v>9050</v>
      </c>
      <c r="B4745" s="112" t="s">
        <v>11323</v>
      </c>
    </row>
    <row r="4746" spans="1:2" ht="15">
      <c r="A4746" s="113" t="s">
        <v>9051</v>
      </c>
      <c r="B4746" s="112" t="s">
        <v>11323</v>
      </c>
    </row>
    <row r="4747" spans="1:2" ht="15">
      <c r="A4747" s="113" t="s">
        <v>9052</v>
      </c>
      <c r="B4747" s="112" t="s">
        <v>11323</v>
      </c>
    </row>
    <row r="4748" spans="1:2" ht="15">
      <c r="A4748" s="113" t="s">
        <v>9053</v>
      </c>
      <c r="B4748" s="112" t="s">
        <v>11323</v>
      </c>
    </row>
    <row r="4749" spans="1:2" ht="15">
      <c r="A4749" s="113" t="s">
        <v>9054</v>
      </c>
      <c r="B4749" s="112" t="s">
        <v>11323</v>
      </c>
    </row>
    <row r="4750" spans="1:2" ht="15">
      <c r="A4750" s="113" t="s">
        <v>9055</v>
      </c>
      <c r="B4750" s="112" t="s">
        <v>11323</v>
      </c>
    </row>
    <row r="4751" spans="1:2" ht="15">
      <c r="A4751" s="113" t="s">
        <v>9056</v>
      </c>
      <c r="B4751" s="112" t="s">
        <v>11323</v>
      </c>
    </row>
    <row r="4752" spans="1:2" ht="15">
      <c r="A4752" s="113" t="s">
        <v>9057</v>
      </c>
      <c r="B4752" s="112" t="s">
        <v>11323</v>
      </c>
    </row>
    <row r="4753" spans="1:2" ht="15">
      <c r="A4753" s="113" t="s">
        <v>9058</v>
      </c>
      <c r="B4753" s="112" t="s">
        <v>11323</v>
      </c>
    </row>
    <row r="4754" spans="1:2" ht="15">
      <c r="A4754" s="113" t="s">
        <v>9059</v>
      </c>
      <c r="B4754" s="112" t="s">
        <v>11323</v>
      </c>
    </row>
    <row r="4755" spans="1:2" ht="15">
      <c r="A4755" s="113" t="s">
        <v>9060</v>
      </c>
      <c r="B4755" s="112" t="s">
        <v>11323</v>
      </c>
    </row>
    <row r="4756" spans="1:2" ht="15">
      <c r="A4756" s="113" t="s">
        <v>9061</v>
      </c>
      <c r="B4756" s="112" t="s">
        <v>11323</v>
      </c>
    </row>
    <row r="4757" spans="1:2" ht="15">
      <c r="A4757" s="113" t="s">
        <v>9062</v>
      </c>
      <c r="B4757" s="112" t="s">
        <v>11323</v>
      </c>
    </row>
    <row r="4758" spans="1:2" ht="15">
      <c r="A4758" s="113" t="s">
        <v>9063</v>
      </c>
      <c r="B4758" s="112" t="s">
        <v>11323</v>
      </c>
    </row>
    <row r="4759" spans="1:2" ht="15">
      <c r="A4759" s="113" t="s">
        <v>9064</v>
      </c>
      <c r="B4759" s="112" t="s">
        <v>11323</v>
      </c>
    </row>
    <row r="4760" spans="1:2" ht="15">
      <c r="A4760" s="113" t="s">
        <v>9065</v>
      </c>
      <c r="B4760" s="112" t="s">
        <v>11323</v>
      </c>
    </row>
    <row r="4761" spans="1:2" ht="15">
      <c r="A4761" s="113" t="s">
        <v>9066</v>
      </c>
      <c r="B4761" s="112" t="s">
        <v>11323</v>
      </c>
    </row>
    <row r="4762" spans="1:2" ht="15">
      <c r="A4762" s="113" t="s">
        <v>9067</v>
      </c>
      <c r="B4762" s="112" t="s">
        <v>11323</v>
      </c>
    </row>
    <row r="4763" spans="1:2" ht="15">
      <c r="A4763" s="113" t="s">
        <v>9068</v>
      </c>
      <c r="B4763" s="112" t="s">
        <v>11323</v>
      </c>
    </row>
    <row r="4764" spans="1:2" ht="15">
      <c r="A4764" s="113" t="s">
        <v>9069</v>
      </c>
      <c r="B4764" s="112" t="s">
        <v>11323</v>
      </c>
    </row>
    <row r="4765" spans="1:2" ht="15">
      <c r="A4765" s="113" t="s">
        <v>9070</v>
      </c>
      <c r="B4765" s="112" t="s">
        <v>11323</v>
      </c>
    </row>
    <row r="4766" spans="1:2" ht="15">
      <c r="A4766" s="113" t="s">
        <v>9071</v>
      </c>
      <c r="B4766" s="112" t="s">
        <v>11323</v>
      </c>
    </row>
    <row r="4767" spans="1:2" ht="15">
      <c r="A4767" s="113" t="s">
        <v>9072</v>
      </c>
      <c r="B4767" s="112" t="s">
        <v>11323</v>
      </c>
    </row>
    <row r="4768" spans="1:2" ht="15">
      <c r="A4768" s="113" t="s">
        <v>9073</v>
      </c>
      <c r="B4768" s="112" t="s">
        <v>11323</v>
      </c>
    </row>
    <row r="4769" spans="1:2" ht="15">
      <c r="A4769" s="113" t="s">
        <v>9074</v>
      </c>
      <c r="B4769" s="112" t="s">
        <v>11323</v>
      </c>
    </row>
    <row r="4770" spans="1:2" ht="15">
      <c r="A4770" s="113" t="s">
        <v>9075</v>
      </c>
      <c r="B4770" s="112" t="s">
        <v>11323</v>
      </c>
    </row>
    <row r="4771" spans="1:2" ht="15">
      <c r="A4771" s="113" t="s">
        <v>9076</v>
      </c>
      <c r="B4771" s="112" t="s">
        <v>11323</v>
      </c>
    </row>
    <row r="4772" spans="1:2" ht="15">
      <c r="A4772" s="113" t="s">
        <v>9077</v>
      </c>
      <c r="B4772" s="112" t="s">
        <v>11323</v>
      </c>
    </row>
    <row r="4773" spans="1:2" ht="15">
      <c r="A4773" s="113" t="s">
        <v>9078</v>
      </c>
      <c r="B4773" s="112" t="s">
        <v>11323</v>
      </c>
    </row>
    <row r="4774" spans="1:2" ht="15">
      <c r="A4774" s="113" t="s">
        <v>9079</v>
      </c>
      <c r="B4774" s="112" t="s">
        <v>11323</v>
      </c>
    </row>
    <row r="4775" spans="1:2" ht="15">
      <c r="A4775" s="113" t="s">
        <v>9080</v>
      </c>
      <c r="B4775" s="112" t="s">
        <v>11323</v>
      </c>
    </row>
    <row r="4776" spans="1:2" ht="15">
      <c r="A4776" s="113" t="s">
        <v>9081</v>
      </c>
      <c r="B4776" s="112" t="s">
        <v>11323</v>
      </c>
    </row>
    <row r="4777" spans="1:2" ht="15">
      <c r="A4777" s="113" t="s">
        <v>9082</v>
      </c>
      <c r="B4777" s="112" t="s">
        <v>11323</v>
      </c>
    </row>
    <row r="4778" spans="1:2" ht="15">
      <c r="A4778" s="113" t="s">
        <v>9083</v>
      </c>
      <c r="B4778" s="112" t="s">
        <v>11323</v>
      </c>
    </row>
    <row r="4779" spans="1:2" ht="15">
      <c r="A4779" s="113" t="s">
        <v>9084</v>
      </c>
      <c r="B4779" s="112" t="s">
        <v>11323</v>
      </c>
    </row>
    <row r="4780" spans="1:2" ht="15">
      <c r="A4780" s="113" t="s">
        <v>9085</v>
      </c>
      <c r="B4780" s="112" t="s">
        <v>11323</v>
      </c>
    </row>
    <row r="4781" spans="1:2" ht="15">
      <c r="A4781" s="113" t="s">
        <v>9086</v>
      </c>
      <c r="B4781" s="112" t="s">
        <v>11323</v>
      </c>
    </row>
    <row r="4782" spans="1:2" ht="15">
      <c r="A4782" s="113" t="s">
        <v>9087</v>
      </c>
      <c r="B4782" s="112" t="s">
        <v>11323</v>
      </c>
    </row>
    <row r="4783" spans="1:2" ht="15">
      <c r="A4783" s="113" t="s">
        <v>9088</v>
      </c>
      <c r="B4783" s="112" t="s">
        <v>11323</v>
      </c>
    </row>
    <row r="4784" spans="1:2" ht="15">
      <c r="A4784" s="113" t="s">
        <v>9089</v>
      </c>
      <c r="B4784" s="112" t="s">
        <v>11323</v>
      </c>
    </row>
    <row r="4785" spans="1:2" ht="15">
      <c r="A4785" s="113" t="s">
        <v>9090</v>
      </c>
      <c r="B4785" s="112" t="s">
        <v>11323</v>
      </c>
    </row>
    <row r="4786" spans="1:2" ht="15">
      <c r="A4786" s="113" t="s">
        <v>9091</v>
      </c>
      <c r="B4786" s="112" t="s">
        <v>11323</v>
      </c>
    </row>
    <row r="4787" spans="1:2" ht="15">
      <c r="A4787" s="113" t="s">
        <v>9092</v>
      </c>
      <c r="B4787" s="112" t="s">
        <v>11323</v>
      </c>
    </row>
    <row r="4788" spans="1:2" ht="15">
      <c r="A4788" s="113" t="s">
        <v>9093</v>
      </c>
      <c r="B4788" s="112" t="s">
        <v>11323</v>
      </c>
    </row>
    <row r="4789" spans="1:2" ht="15">
      <c r="A4789" s="113" t="s">
        <v>9094</v>
      </c>
      <c r="B4789" s="112" t="s">
        <v>11323</v>
      </c>
    </row>
    <row r="4790" spans="1:2" ht="15">
      <c r="A4790" s="113" t="s">
        <v>9095</v>
      </c>
      <c r="B4790" s="112" t="s">
        <v>11323</v>
      </c>
    </row>
    <row r="4791" spans="1:2" ht="15">
      <c r="A4791" s="113" t="s">
        <v>9096</v>
      </c>
      <c r="B4791" s="112" t="s">
        <v>11323</v>
      </c>
    </row>
    <row r="4792" spans="1:2" ht="15">
      <c r="A4792" s="113" t="s">
        <v>9097</v>
      </c>
      <c r="B4792" s="112" t="s">
        <v>11323</v>
      </c>
    </row>
    <row r="4793" spans="1:2" ht="15">
      <c r="A4793" s="113" t="s">
        <v>9098</v>
      </c>
      <c r="B4793" s="112" t="s">
        <v>11323</v>
      </c>
    </row>
    <row r="4794" spans="1:2" ht="15">
      <c r="A4794" s="113" t="s">
        <v>9099</v>
      </c>
      <c r="B4794" s="112" t="s">
        <v>11323</v>
      </c>
    </row>
    <row r="4795" spans="1:2" ht="15">
      <c r="A4795" s="113" t="s">
        <v>9100</v>
      </c>
      <c r="B4795" s="112" t="s">
        <v>11323</v>
      </c>
    </row>
    <row r="4796" spans="1:2" ht="15">
      <c r="A4796" s="113" t="s">
        <v>9101</v>
      </c>
      <c r="B4796" s="112" t="s">
        <v>11323</v>
      </c>
    </row>
    <row r="4797" spans="1:2" ht="15">
      <c r="A4797" s="113" t="s">
        <v>9102</v>
      </c>
      <c r="B4797" s="112" t="s">
        <v>11323</v>
      </c>
    </row>
    <row r="4798" spans="1:2" ht="15">
      <c r="A4798" s="113" t="s">
        <v>9103</v>
      </c>
      <c r="B4798" s="112" t="s">
        <v>11323</v>
      </c>
    </row>
    <row r="4799" spans="1:2" ht="15">
      <c r="A4799" s="113" t="s">
        <v>9104</v>
      </c>
      <c r="B4799" s="112" t="s">
        <v>11323</v>
      </c>
    </row>
    <row r="4800" spans="1:2" ht="15">
      <c r="A4800" s="113" t="s">
        <v>9105</v>
      </c>
      <c r="B4800" s="112" t="s">
        <v>11323</v>
      </c>
    </row>
    <row r="4801" spans="1:2" ht="15">
      <c r="A4801" s="113" t="s">
        <v>9106</v>
      </c>
      <c r="B4801" s="112" t="s">
        <v>11323</v>
      </c>
    </row>
    <row r="4802" spans="1:2" ht="15">
      <c r="A4802" s="113" t="s">
        <v>9107</v>
      </c>
      <c r="B4802" s="112" t="s">
        <v>11323</v>
      </c>
    </row>
    <row r="4803" spans="1:2" ht="15">
      <c r="A4803" s="113" t="s">
        <v>9108</v>
      </c>
      <c r="B4803" s="112" t="s">
        <v>11323</v>
      </c>
    </row>
    <row r="4804" spans="1:2" ht="15">
      <c r="A4804" s="113" t="s">
        <v>9109</v>
      </c>
      <c r="B4804" s="112" t="s">
        <v>11323</v>
      </c>
    </row>
    <row r="4805" spans="1:2" ht="15">
      <c r="A4805" s="113" t="s">
        <v>9110</v>
      </c>
      <c r="B4805" s="112" t="s">
        <v>11323</v>
      </c>
    </row>
    <row r="4806" spans="1:2" ht="15">
      <c r="A4806" s="113" t="s">
        <v>9111</v>
      </c>
      <c r="B4806" s="112" t="s">
        <v>11323</v>
      </c>
    </row>
    <row r="4807" spans="1:2" ht="15">
      <c r="A4807" s="113" t="s">
        <v>9112</v>
      </c>
      <c r="B4807" s="112" t="s">
        <v>11323</v>
      </c>
    </row>
    <row r="4808" spans="1:2" ht="15">
      <c r="A4808" s="113" t="s">
        <v>9113</v>
      </c>
      <c r="B4808" s="112" t="s">
        <v>11323</v>
      </c>
    </row>
    <row r="4809" spans="1:2" ht="15">
      <c r="A4809" s="113" t="s">
        <v>9114</v>
      </c>
      <c r="B4809" s="112" t="s">
        <v>11323</v>
      </c>
    </row>
    <row r="4810" spans="1:2" ht="15">
      <c r="A4810" s="113" t="s">
        <v>9115</v>
      </c>
      <c r="B4810" s="112" t="s">
        <v>11323</v>
      </c>
    </row>
    <row r="4811" spans="1:2" ht="15">
      <c r="A4811" s="113" t="s">
        <v>9116</v>
      </c>
      <c r="B4811" s="112" t="s">
        <v>11323</v>
      </c>
    </row>
    <row r="4812" spans="1:2" ht="15">
      <c r="A4812" s="113" t="s">
        <v>9117</v>
      </c>
      <c r="B4812" s="112" t="s">
        <v>11323</v>
      </c>
    </row>
    <row r="4813" spans="1:2" ht="15">
      <c r="A4813" s="113" t="s">
        <v>9118</v>
      </c>
      <c r="B4813" s="112" t="s">
        <v>11323</v>
      </c>
    </row>
    <row r="4814" spans="1:2" ht="15">
      <c r="A4814" s="113" t="s">
        <v>9119</v>
      </c>
      <c r="B4814" s="112" t="s">
        <v>11323</v>
      </c>
    </row>
    <row r="4815" spans="1:2" ht="15">
      <c r="A4815" s="113" t="s">
        <v>9120</v>
      </c>
      <c r="B4815" s="112" t="s">
        <v>11323</v>
      </c>
    </row>
    <row r="4816" spans="1:2" ht="15">
      <c r="A4816" s="113" t="s">
        <v>9121</v>
      </c>
      <c r="B4816" s="112" t="s">
        <v>11323</v>
      </c>
    </row>
    <row r="4817" spans="1:2" ht="15">
      <c r="A4817" s="113" t="s">
        <v>9122</v>
      </c>
      <c r="B4817" s="112" t="s">
        <v>11323</v>
      </c>
    </row>
    <row r="4818" spans="1:2" ht="15">
      <c r="A4818" s="113" t="s">
        <v>9123</v>
      </c>
      <c r="B4818" s="112" t="s">
        <v>11323</v>
      </c>
    </row>
    <row r="4819" spans="1:2" ht="15">
      <c r="A4819" s="113" t="s">
        <v>9124</v>
      </c>
      <c r="B4819" s="112" t="s">
        <v>11323</v>
      </c>
    </row>
    <row r="4820" spans="1:2" ht="15">
      <c r="A4820" s="113" t="s">
        <v>9125</v>
      </c>
      <c r="B4820" s="112" t="s">
        <v>11323</v>
      </c>
    </row>
    <row r="4821" spans="1:2" ht="15">
      <c r="A4821" s="113" t="s">
        <v>9126</v>
      </c>
      <c r="B4821" s="112" t="s">
        <v>11323</v>
      </c>
    </row>
    <row r="4822" spans="1:2" ht="15">
      <c r="A4822" s="113" t="s">
        <v>9127</v>
      </c>
      <c r="B4822" s="112" t="s">
        <v>11323</v>
      </c>
    </row>
    <row r="4823" spans="1:2" ht="15">
      <c r="A4823" s="113" t="s">
        <v>9128</v>
      </c>
      <c r="B4823" s="112" t="s">
        <v>11323</v>
      </c>
    </row>
    <row r="4824" spans="1:2" ht="15">
      <c r="A4824" s="113" t="s">
        <v>9129</v>
      </c>
      <c r="B4824" s="112" t="s">
        <v>11323</v>
      </c>
    </row>
    <row r="4825" spans="1:2" ht="15">
      <c r="A4825" s="113" t="s">
        <v>9130</v>
      </c>
      <c r="B4825" s="112" t="s">
        <v>11323</v>
      </c>
    </row>
    <row r="4826" spans="1:2" ht="15">
      <c r="A4826" s="113" t="s">
        <v>9131</v>
      </c>
      <c r="B4826" s="112" t="s">
        <v>11323</v>
      </c>
    </row>
    <row r="4827" spans="1:2" ht="15">
      <c r="A4827" s="113" t="s">
        <v>9132</v>
      </c>
      <c r="B4827" s="112" t="s">
        <v>11323</v>
      </c>
    </row>
    <row r="4828" spans="1:2" ht="15">
      <c r="A4828" s="113" t="s">
        <v>9133</v>
      </c>
      <c r="B4828" s="112" t="s">
        <v>11323</v>
      </c>
    </row>
    <row r="4829" spans="1:2" ht="15">
      <c r="A4829" s="113" t="s">
        <v>9134</v>
      </c>
      <c r="B4829" s="112" t="s">
        <v>11323</v>
      </c>
    </row>
    <row r="4830" spans="1:2" ht="15">
      <c r="A4830" s="113" t="s">
        <v>9135</v>
      </c>
      <c r="B4830" s="112" t="s">
        <v>11323</v>
      </c>
    </row>
    <row r="4831" spans="1:2" ht="15">
      <c r="A4831" s="113" t="s">
        <v>9136</v>
      </c>
      <c r="B4831" s="112" t="s">
        <v>11323</v>
      </c>
    </row>
    <row r="4832" spans="1:2" ht="15">
      <c r="A4832" s="113" t="s">
        <v>9137</v>
      </c>
      <c r="B4832" s="112" t="s">
        <v>11323</v>
      </c>
    </row>
    <row r="4833" spans="1:2" ht="15">
      <c r="A4833" s="113" t="s">
        <v>9138</v>
      </c>
      <c r="B4833" s="112" t="s">
        <v>11323</v>
      </c>
    </row>
    <row r="4834" spans="1:2" ht="15">
      <c r="A4834" s="113" t="s">
        <v>9139</v>
      </c>
      <c r="B4834" s="112" t="s">
        <v>11323</v>
      </c>
    </row>
    <row r="4835" spans="1:2" ht="15">
      <c r="A4835" s="113" t="s">
        <v>9140</v>
      </c>
      <c r="B4835" s="112" t="s">
        <v>11323</v>
      </c>
    </row>
    <row r="4836" spans="1:2" ht="15">
      <c r="A4836" s="113" t="s">
        <v>9141</v>
      </c>
      <c r="B4836" s="112" t="s">
        <v>11323</v>
      </c>
    </row>
    <row r="4837" spans="1:2" ht="15">
      <c r="A4837" s="113" t="s">
        <v>9142</v>
      </c>
      <c r="B4837" s="112" t="s">
        <v>11323</v>
      </c>
    </row>
    <row r="4838" spans="1:2" ht="15">
      <c r="A4838" s="113" t="s">
        <v>9143</v>
      </c>
      <c r="B4838" s="112" t="s">
        <v>11323</v>
      </c>
    </row>
    <row r="4839" spans="1:2" ht="15">
      <c r="A4839" s="113" t="s">
        <v>9144</v>
      </c>
      <c r="B4839" s="112" t="s">
        <v>11323</v>
      </c>
    </row>
    <row r="4840" spans="1:2" ht="15">
      <c r="A4840" s="113" t="s">
        <v>9145</v>
      </c>
      <c r="B4840" s="112" t="s">
        <v>11323</v>
      </c>
    </row>
    <row r="4841" spans="1:2" ht="15">
      <c r="A4841" s="113" t="s">
        <v>9146</v>
      </c>
      <c r="B4841" s="112" t="s">
        <v>11323</v>
      </c>
    </row>
    <row r="4842" spans="1:2" ht="15">
      <c r="A4842" s="113" t="s">
        <v>9147</v>
      </c>
      <c r="B4842" s="112" t="s">
        <v>11323</v>
      </c>
    </row>
    <row r="4843" spans="1:2" ht="15">
      <c r="A4843" s="113" t="s">
        <v>9148</v>
      </c>
      <c r="B4843" s="112" t="s">
        <v>11323</v>
      </c>
    </row>
    <row r="4844" spans="1:2" ht="15">
      <c r="A4844" s="113" t="s">
        <v>9149</v>
      </c>
      <c r="B4844" s="112" t="s">
        <v>11323</v>
      </c>
    </row>
    <row r="4845" spans="1:2" ht="15">
      <c r="A4845" s="113" t="s">
        <v>9150</v>
      </c>
      <c r="B4845" s="112" t="s">
        <v>11323</v>
      </c>
    </row>
    <row r="4846" spans="1:2" ht="15">
      <c r="A4846" s="113" t="s">
        <v>9151</v>
      </c>
      <c r="B4846" s="112" t="s">
        <v>11323</v>
      </c>
    </row>
    <row r="4847" spans="1:2" ht="15">
      <c r="A4847" s="113" t="s">
        <v>9152</v>
      </c>
      <c r="B4847" s="112" t="s">
        <v>11323</v>
      </c>
    </row>
    <row r="4848" spans="1:2" ht="15">
      <c r="A4848" s="113" t="s">
        <v>9153</v>
      </c>
      <c r="B4848" s="112" t="s">
        <v>11323</v>
      </c>
    </row>
    <row r="4849" spans="1:2" ht="15">
      <c r="A4849" s="113" t="s">
        <v>9154</v>
      </c>
      <c r="B4849" s="112" t="s">
        <v>11323</v>
      </c>
    </row>
    <row r="4850" spans="1:2" ht="15">
      <c r="A4850" s="113" t="s">
        <v>9155</v>
      </c>
      <c r="B4850" s="112" t="s">
        <v>11323</v>
      </c>
    </row>
    <row r="4851" spans="1:2" ht="15">
      <c r="A4851" s="113" t="s">
        <v>9156</v>
      </c>
      <c r="B4851" s="112" t="s">
        <v>11323</v>
      </c>
    </row>
    <row r="4852" spans="1:2" ht="15">
      <c r="A4852" s="113" t="s">
        <v>9157</v>
      </c>
      <c r="B4852" s="112" t="s">
        <v>11323</v>
      </c>
    </row>
    <row r="4853" spans="1:2" ht="15">
      <c r="A4853" s="113" t="s">
        <v>9158</v>
      </c>
      <c r="B4853" s="112" t="s">
        <v>11323</v>
      </c>
    </row>
    <row r="4854" spans="1:2" ht="15">
      <c r="A4854" s="113" t="s">
        <v>9159</v>
      </c>
      <c r="B4854" s="112" t="s">
        <v>11323</v>
      </c>
    </row>
    <row r="4855" spans="1:2" ht="15">
      <c r="A4855" s="113" t="s">
        <v>9160</v>
      </c>
      <c r="B4855" s="112" t="s">
        <v>11323</v>
      </c>
    </row>
    <row r="4856" spans="1:2" ht="15">
      <c r="A4856" s="113" t="s">
        <v>9161</v>
      </c>
      <c r="B4856" s="112" t="s">
        <v>11323</v>
      </c>
    </row>
    <row r="4857" spans="1:2" ht="15">
      <c r="A4857" s="113" t="s">
        <v>9162</v>
      </c>
      <c r="B4857" s="112" t="s">
        <v>11323</v>
      </c>
    </row>
    <row r="4858" spans="1:2" ht="15">
      <c r="A4858" s="113" t="s">
        <v>9163</v>
      </c>
      <c r="B4858" s="112" t="s">
        <v>11323</v>
      </c>
    </row>
    <row r="4859" spans="1:2" ht="15">
      <c r="A4859" s="113" t="s">
        <v>9164</v>
      </c>
      <c r="B4859" s="112" t="s">
        <v>11323</v>
      </c>
    </row>
    <row r="4860" spans="1:2" ht="15">
      <c r="A4860" s="113" t="s">
        <v>9165</v>
      </c>
      <c r="B4860" s="112" t="s">
        <v>11323</v>
      </c>
    </row>
    <row r="4861" spans="1:2" ht="15">
      <c r="A4861" s="113" t="s">
        <v>9166</v>
      </c>
      <c r="B4861" s="112" t="s">
        <v>11323</v>
      </c>
    </row>
    <row r="4862" spans="1:2" ht="15">
      <c r="A4862" s="113" t="s">
        <v>9167</v>
      </c>
      <c r="B4862" s="112" t="s">
        <v>11323</v>
      </c>
    </row>
    <row r="4863" spans="1:2" ht="15">
      <c r="A4863" s="113" t="s">
        <v>9168</v>
      </c>
      <c r="B4863" s="112" t="s">
        <v>11323</v>
      </c>
    </row>
    <row r="4864" spans="1:2" ht="15">
      <c r="A4864" s="113" t="s">
        <v>9169</v>
      </c>
      <c r="B4864" s="112" t="s">
        <v>11323</v>
      </c>
    </row>
    <row r="4865" spans="1:2" ht="15">
      <c r="A4865" s="113" t="s">
        <v>9170</v>
      </c>
      <c r="B4865" s="112" t="s">
        <v>11323</v>
      </c>
    </row>
    <row r="4866" spans="1:2" ht="15">
      <c r="A4866" s="113" t="s">
        <v>9171</v>
      </c>
      <c r="B4866" s="112" t="s">
        <v>11323</v>
      </c>
    </row>
    <row r="4867" spans="1:2" ht="15">
      <c r="A4867" s="113" t="s">
        <v>9172</v>
      </c>
      <c r="B4867" s="112" t="s">
        <v>11323</v>
      </c>
    </row>
    <row r="4868" spans="1:2" ht="15">
      <c r="A4868" s="113" t="s">
        <v>9173</v>
      </c>
      <c r="B4868" s="112" t="s">
        <v>11323</v>
      </c>
    </row>
    <row r="4869" spans="1:2" ht="15">
      <c r="A4869" s="113" t="s">
        <v>9174</v>
      </c>
      <c r="B4869" s="112" t="s">
        <v>11323</v>
      </c>
    </row>
    <row r="4870" spans="1:2" ht="15">
      <c r="A4870" s="113" t="s">
        <v>9175</v>
      </c>
      <c r="B4870" s="112" t="s">
        <v>11323</v>
      </c>
    </row>
    <row r="4871" spans="1:2" ht="15">
      <c r="A4871" s="113" t="s">
        <v>9176</v>
      </c>
      <c r="B4871" s="112" t="s">
        <v>11323</v>
      </c>
    </row>
    <row r="4872" spans="1:2" ht="15">
      <c r="A4872" s="113" t="s">
        <v>9177</v>
      </c>
      <c r="B4872" s="112" t="s">
        <v>11323</v>
      </c>
    </row>
    <row r="4873" spans="1:2" ht="15">
      <c r="A4873" s="113" t="s">
        <v>9178</v>
      </c>
      <c r="B4873" s="112" t="s">
        <v>11323</v>
      </c>
    </row>
    <row r="4874" spans="1:2" ht="15">
      <c r="A4874" s="113" t="s">
        <v>9179</v>
      </c>
      <c r="B4874" s="112" t="s">
        <v>11323</v>
      </c>
    </row>
    <row r="4875" spans="1:2" ht="15">
      <c r="A4875" s="113" t="s">
        <v>9180</v>
      </c>
      <c r="B4875" s="112" t="s">
        <v>11323</v>
      </c>
    </row>
    <row r="4876" spans="1:2" ht="15">
      <c r="A4876" s="113" t="s">
        <v>9181</v>
      </c>
      <c r="B4876" s="112" t="s">
        <v>11323</v>
      </c>
    </row>
    <row r="4877" spans="1:2" ht="15">
      <c r="A4877" s="113" t="s">
        <v>9182</v>
      </c>
      <c r="B4877" s="112" t="s">
        <v>11323</v>
      </c>
    </row>
    <row r="4878" spans="1:2" ht="15">
      <c r="A4878" s="113" t="s">
        <v>9183</v>
      </c>
      <c r="B4878" s="112" t="s">
        <v>11323</v>
      </c>
    </row>
    <row r="4879" spans="1:2" ht="15">
      <c r="A4879" s="113" t="s">
        <v>9184</v>
      </c>
      <c r="B4879" s="112" t="s">
        <v>11323</v>
      </c>
    </row>
    <row r="4880" spans="1:2" ht="15">
      <c r="A4880" s="113" t="s">
        <v>9185</v>
      </c>
      <c r="B4880" s="112" t="s">
        <v>11323</v>
      </c>
    </row>
    <row r="4881" spans="1:2" ht="15">
      <c r="A4881" s="113" t="s">
        <v>9186</v>
      </c>
      <c r="B4881" s="112" t="s">
        <v>11323</v>
      </c>
    </row>
    <row r="4882" spans="1:2" ht="15">
      <c r="A4882" s="113" t="s">
        <v>9187</v>
      </c>
      <c r="B4882" s="112" t="s">
        <v>11323</v>
      </c>
    </row>
    <row r="4883" spans="1:2" ht="15">
      <c r="A4883" s="113" t="s">
        <v>9188</v>
      </c>
      <c r="B4883" s="112" t="s">
        <v>11323</v>
      </c>
    </row>
    <row r="4884" spans="1:2" ht="15">
      <c r="A4884" s="113" t="s">
        <v>9189</v>
      </c>
      <c r="B4884" s="112" t="s">
        <v>11323</v>
      </c>
    </row>
    <row r="4885" spans="1:2" ht="15">
      <c r="A4885" s="113" t="s">
        <v>9190</v>
      </c>
      <c r="B4885" s="112" t="s">
        <v>11323</v>
      </c>
    </row>
    <row r="4886" spans="1:2" ht="15">
      <c r="A4886" s="113" t="s">
        <v>9191</v>
      </c>
      <c r="B4886" s="112" t="s">
        <v>11323</v>
      </c>
    </row>
    <row r="4887" spans="1:2" ht="15">
      <c r="A4887" s="113" t="s">
        <v>9192</v>
      </c>
      <c r="B4887" s="112" t="s">
        <v>11323</v>
      </c>
    </row>
    <row r="4888" spans="1:2" ht="15">
      <c r="A4888" s="113" t="s">
        <v>9193</v>
      </c>
      <c r="B4888" s="112" t="s">
        <v>11323</v>
      </c>
    </row>
    <row r="4889" spans="1:2" ht="15">
      <c r="A4889" s="113" t="s">
        <v>9194</v>
      </c>
      <c r="B4889" s="112" t="s">
        <v>11323</v>
      </c>
    </row>
    <row r="4890" spans="1:2" ht="15">
      <c r="A4890" s="113" t="s">
        <v>9195</v>
      </c>
      <c r="B4890" s="112" t="s">
        <v>11323</v>
      </c>
    </row>
    <row r="4891" spans="1:2" ht="15">
      <c r="A4891" s="113" t="s">
        <v>9196</v>
      </c>
      <c r="B4891" s="112" t="s">
        <v>11323</v>
      </c>
    </row>
    <row r="4892" spans="1:2" ht="15">
      <c r="A4892" s="113" t="s">
        <v>9197</v>
      </c>
      <c r="B4892" s="112" t="s">
        <v>11323</v>
      </c>
    </row>
    <row r="4893" spans="1:2" ht="15">
      <c r="A4893" s="113" t="s">
        <v>9198</v>
      </c>
      <c r="B4893" s="112" t="s">
        <v>11323</v>
      </c>
    </row>
    <row r="4894" spans="1:2" ht="15">
      <c r="A4894" s="113" t="s">
        <v>9199</v>
      </c>
      <c r="B4894" s="112" t="s">
        <v>11323</v>
      </c>
    </row>
    <row r="4895" spans="1:2" ht="15">
      <c r="A4895" s="113" t="s">
        <v>9200</v>
      </c>
      <c r="B4895" s="112" t="s">
        <v>11323</v>
      </c>
    </row>
    <row r="4896" spans="1:2" ht="15">
      <c r="A4896" s="113" t="s">
        <v>9201</v>
      </c>
      <c r="B4896" s="112" t="s">
        <v>11323</v>
      </c>
    </row>
    <row r="4897" spans="1:2" ht="15">
      <c r="A4897" s="113" t="s">
        <v>9202</v>
      </c>
      <c r="B4897" s="112" t="s">
        <v>11323</v>
      </c>
    </row>
    <row r="4898" spans="1:2" ht="15">
      <c r="A4898" s="113" t="s">
        <v>9203</v>
      </c>
      <c r="B4898" s="112" t="s">
        <v>11323</v>
      </c>
    </row>
    <row r="4899" spans="1:2" ht="15">
      <c r="A4899" s="113" t="s">
        <v>9204</v>
      </c>
      <c r="B4899" s="112" t="s">
        <v>11323</v>
      </c>
    </row>
    <row r="4900" spans="1:2" ht="15">
      <c r="A4900" s="113" t="s">
        <v>9205</v>
      </c>
      <c r="B4900" s="112" t="s">
        <v>11323</v>
      </c>
    </row>
    <row r="4901" spans="1:2" ht="15">
      <c r="A4901" s="113" t="s">
        <v>9206</v>
      </c>
      <c r="B4901" s="112" t="s">
        <v>11323</v>
      </c>
    </row>
    <row r="4902" spans="1:2" ht="15">
      <c r="A4902" s="113" t="s">
        <v>9207</v>
      </c>
      <c r="B4902" s="112" t="s">
        <v>11323</v>
      </c>
    </row>
    <row r="4903" spans="1:2" ht="15">
      <c r="A4903" s="113" t="s">
        <v>9208</v>
      </c>
      <c r="B4903" s="112" t="s">
        <v>11323</v>
      </c>
    </row>
    <row r="4904" spans="1:2" ht="15">
      <c r="A4904" s="113" t="s">
        <v>9209</v>
      </c>
      <c r="B4904" s="112" t="s">
        <v>11323</v>
      </c>
    </row>
    <row r="4905" spans="1:2" ht="15">
      <c r="A4905" s="113" t="s">
        <v>9210</v>
      </c>
      <c r="B4905" s="112" t="s">
        <v>11323</v>
      </c>
    </row>
    <row r="4906" spans="1:2" ht="15">
      <c r="A4906" s="113" t="s">
        <v>9211</v>
      </c>
      <c r="B4906" s="112" t="s">
        <v>11323</v>
      </c>
    </row>
    <row r="4907" spans="1:2" ht="15">
      <c r="A4907" s="113" t="s">
        <v>9212</v>
      </c>
      <c r="B4907" s="112" t="s">
        <v>11323</v>
      </c>
    </row>
    <row r="4908" spans="1:2" ht="15">
      <c r="A4908" s="113" t="s">
        <v>9213</v>
      </c>
      <c r="B4908" s="112" t="s">
        <v>11323</v>
      </c>
    </row>
    <row r="4909" spans="1:2" ht="15">
      <c r="A4909" s="113" t="s">
        <v>9214</v>
      </c>
      <c r="B4909" s="112" t="s">
        <v>11323</v>
      </c>
    </row>
    <row r="4910" spans="1:2" ht="15">
      <c r="A4910" s="113" t="s">
        <v>9215</v>
      </c>
      <c r="B4910" s="112" t="s">
        <v>11323</v>
      </c>
    </row>
    <row r="4911" spans="1:2" ht="15">
      <c r="A4911" s="113" t="s">
        <v>9216</v>
      </c>
      <c r="B4911" s="112" t="s">
        <v>11323</v>
      </c>
    </row>
    <row r="4912" spans="1:2" ht="15">
      <c r="A4912" s="113" t="s">
        <v>9217</v>
      </c>
      <c r="B4912" s="112" t="s">
        <v>11323</v>
      </c>
    </row>
    <row r="4913" spans="1:2" ht="15">
      <c r="A4913" s="113" t="s">
        <v>9218</v>
      </c>
      <c r="B4913" s="112" t="s">
        <v>11323</v>
      </c>
    </row>
    <row r="4914" spans="1:2" ht="15">
      <c r="A4914" s="113" t="s">
        <v>9219</v>
      </c>
      <c r="B4914" s="112" t="s">
        <v>11323</v>
      </c>
    </row>
    <row r="4915" spans="1:2" ht="15">
      <c r="A4915" s="113" t="s">
        <v>9220</v>
      </c>
      <c r="B4915" s="112" t="s">
        <v>11323</v>
      </c>
    </row>
    <row r="4916" spans="1:2" ht="15">
      <c r="A4916" s="113" t="s">
        <v>9221</v>
      </c>
      <c r="B4916" s="112" t="s">
        <v>11323</v>
      </c>
    </row>
    <row r="4917" spans="1:2" ht="15">
      <c r="A4917" s="113" t="s">
        <v>9222</v>
      </c>
      <c r="B4917" s="112" t="s">
        <v>11323</v>
      </c>
    </row>
    <row r="4918" spans="1:2" ht="15">
      <c r="A4918" s="113" t="s">
        <v>9223</v>
      </c>
      <c r="B4918" s="112" t="s">
        <v>11323</v>
      </c>
    </row>
    <row r="4919" spans="1:2" ht="15">
      <c r="A4919" s="113" t="s">
        <v>9224</v>
      </c>
      <c r="B4919" s="112" t="s">
        <v>11323</v>
      </c>
    </row>
    <row r="4920" spans="1:2" ht="15">
      <c r="A4920" s="113" t="s">
        <v>9225</v>
      </c>
      <c r="B4920" s="112" t="s">
        <v>11323</v>
      </c>
    </row>
    <row r="4921" spans="1:2" ht="15">
      <c r="A4921" s="113" t="s">
        <v>9226</v>
      </c>
      <c r="B4921" s="112" t="s">
        <v>11323</v>
      </c>
    </row>
    <row r="4922" spans="1:2" ht="15">
      <c r="A4922" s="113" t="s">
        <v>9227</v>
      </c>
      <c r="B4922" s="112" t="s">
        <v>11323</v>
      </c>
    </row>
    <row r="4923" spans="1:2" ht="15">
      <c r="A4923" s="113" t="s">
        <v>9228</v>
      </c>
      <c r="B4923" s="112" t="s">
        <v>11323</v>
      </c>
    </row>
    <row r="4924" spans="1:2" ht="15">
      <c r="A4924" s="113" t="s">
        <v>9229</v>
      </c>
      <c r="B4924" s="112" t="s">
        <v>11323</v>
      </c>
    </row>
    <row r="4925" spans="1:2" ht="15">
      <c r="A4925" s="113" t="s">
        <v>9230</v>
      </c>
      <c r="B4925" s="112" t="s">
        <v>11323</v>
      </c>
    </row>
    <row r="4926" spans="1:2" ht="15">
      <c r="A4926" s="113" t="s">
        <v>9231</v>
      </c>
      <c r="B4926" s="112" t="s">
        <v>11323</v>
      </c>
    </row>
    <row r="4927" spans="1:2" ht="15">
      <c r="A4927" s="113" t="s">
        <v>9232</v>
      </c>
      <c r="B4927" s="112" t="s">
        <v>11323</v>
      </c>
    </row>
    <row r="4928" spans="1:2" ht="15">
      <c r="A4928" s="113" t="s">
        <v>9233</v>
      </c>
      <c r="B4928" s="112" t="s">
        <v>11323</v>
      </c>
    </row>
    <row r="4929" spans="1:2" ht="15">
      <c r="A4929" s="113" t="s">
        <v>9234</v>
      </c>
      <c r="B4929" s="112" t="s">
        <v>11323</v>
      </c>
    </row>
    <row r="4930" spans="1:2" ht="15">
      <c r="A4930" s="113" t="s">
        <v>9235</v>
      </c>
      <c r="B4930" s="112" t="s">
        <v>11323</v>
      </c>
    </row>
    <row r="4931" spans="1:2" ht="15">
      <c r="A4931" s="113" t="s">
        <v>9236</v>
      </c>
      <c r="B4931" s="112" t="s">
        <v>11323</v>
      </c>
    </row>
    <row r="4932" spans="1:2" ht="15">
      <c r="A4932" s="113" t="s">
        <v>9237</v>
      </c>
      <c r="B4932" s="112" t="s">
        <v>11323</v>
      </c>
    </row>
    <row r="4933" spans="1:2" ht="15">
      <c r="A4933" s="113" t="s">
        <v>9238</v>
      </c>
      <c r="B4933" s="112" t="s">
        <v>11323</v>
      </c>
    </row>
    <row r="4934" spans="1:2" ht="15">
      <c r="A4934" s="113" t="s">
        <v>9239</v>
      </c>
      <c r="B4934" s="112" t="s">
        <v>11323</v>
      </c>
    </row>
    <row r="4935" spans="1:2" ht="15">
      <c r="A4935" s="113" t="s">
        <v>9240</v>
      </c>
      <c r="B4935" s="112" t="s">
        <v>11323</v>
      </c>
    </row>
    <row r="4936" spans="1:2" ht="15">
      <c r="A4936" s="113" t="s">
        <v>9241</v>
      </c>
      <c r="B4936" s="112" t="s">
        <v>11323</v>
      </c>
    </row>
    <row r="4937" spans="1:2" ht="15">
      <c r="A4937" s="113" t="s">
        <v>9242</v>
      </c>
      <c r="B4937" s="112" t="s">
        <v>11323</v>
      </c>
    </row>
    <row r="4938" spans="1:2" ht="15">
      <c r="A4938" s="113" t="s">
        <v>9243</v>
      </c>
      <c r="B4938" s="112" t="s">
        <v>11323</v>
      </c>
    </row>
    <row r="4939" spans="1:2" ht="15">
      <c r="A4939" s="113" t="s">
        <v>9244</v>
      </c>
      <c r="B4939" s="112" t="s">
        <v>11323</v>
      </c>
    </row>
    <row r="4940" spans="1:2" ht="15">
      <c r="A4940" s="113" t="s">
        <v>9245</v>
      </c>
      <c r="B4940" s="112" t="s">
        <v>11323</v>
      </c>
    </row>
    <row r="4941" spans="1:2" ht="15">
      <c r="A4941" s="113" t="s">
        <v>9246</v>
      </c>
      <c r="B4941" s="112" t="s">
        <v>11323</v>
      </c>
    </row>
    <row r="4942" spans="1:2" ht="15">
      <c r="A4942" s="113" t="s">
        <v>9247</v>
      </c>
      <c r="B4942" s="112" t="s">
        <v>11323</v>
      </c>
    </row>
    <row r="4943" spans="1:2" ht="15">
      <c r="A4943" s="113" t="s">
        <v>9248</v>
      </c>
      <c r="B4943" s="112" t="s">
        <v>11323</v>
      </c>
    </row>
    <row r="4944" spans="1:2" ht="15">
      <c r="A4944" s="113" t="s">
        <v>9249</v>
      </c>
      <c r="B4944" s="112" t="s">
        <v>11323</v>
      </c>
    </row>
    <row r="4945" spans="1:2" ht="15">
      <c r="A4945" s="113" t="s">
        <v>9250</v>
      </c>
      <c r="B4945" s="112" t="s">
        <v>11323</v>
      </c>
    </row>
    <row r="4946" spans="1:2" ht="15">
      <c r="A4946" s="113" t="s">
        <v>9251</v>
      </c>
      <c r="B4946" s="112" t="s">
        <v>11323</v>
      </c>
    </row>
    <row r="4947" spans="1:2" ht="15">
      <c r="A4947" s="113" t="s">
        <v>9252</v>
      </c>
      <c r="B4947" s="112" t="s">
        <v>11323</v>
      </c>
    </row>
    <row r="4948" spans="1:2" ht="15">
      <c r="A4948" s="113" t="s">
        <v>9253</v>
      </c>
      <c r="B4948" s="112" t="s">
        <v>11323</v>
      </c>
    </row>
    <row r="4949" spans="1:2" ht="15">
      <c r="A4949" s="113" t="s">
        <v>9254</v>
      </c>
      <c r="B4949" s="112" t="s">
        <v>11323</v>
      </c>
    </row>
    <row r="4950" spans="1:2" ht="15">
      <c r="A4950" s="113" t="s">
        <v>9255</v>
      </c>
      <c r="B4950" s="112" t="s">
        <v>11323</v>
      </c>
    </row>
    <row r="4951" spans="1:2" ht="15">
      <c r="A4951" s="113" t="s">
        <v>9256</v>
      </c>
      <c r="B4951" s="112" t="s">
        <v>11323</v>
      </c>
    </row>
    <row r="4952" spans="1:2" ht="15">
      <c r="A4952" s="113" t="s">
        <v>9257</v>
      </c>
      <c r="B4952" s="112" t="s">
        <v>11323</v>
      </c>
    </row>
    <row r="4953" spans="1:2" ht="15">
      <c r="A4953" s="113" t="s">
        <v>9258</v>
      </c>
      <c r="B4953" s="112" t="s">
        <v>11323</v>
      </c>
    </row>
    <row r="4954" spans="1:2" ht="15">
      <c r="A4954" s="113" t="s">
        <v>9259</v>
      </c>
      <c r="B4954" s="112" t="s">
        <v>11323</v>
      </c>
    </row>
    <row r="4955" spans="1:2" ht="15">
      <c r="A4955" s="113" t="s">
        <v>9260</v>
      </c>
      <c r="B4955" s="112" t="s">
        <v>11323</v>
      </c>
    </row>
    <row r="4956" spans="1:2" ht="15">
      <c r="A4956" s="113" t="s">
        <v>9261</v>
      </c>
      <c r="B4956" s="112" t="s">
        <v>11323</v>
      </c>
    </row>
    <row r="4957" spans="1:2" ht="15">
      <c r="A4957" s="113" t="s">
        <v>9262</v>
      </c>
      <c r="B4957" s="112" t="s">
        <v>11323</v>
      </c>
    </row>
    <row r="4958" spans="1:2" ht="15">
      <c r="A4958" s="113" t="s">
        <v>9263</v>
      </c>
      <c r="B4958" s="112" t="s">
        <v>11323</v>
      </c>
    </row>
    <row r="4959" spans="1:2" ht="15">
      <c r="A4959" s="113" t="s">
        <v>9264</v>
      </c>
      <c r="B4959" s="112" t="s">
        <v>11323</v>
      </c>
    </row>
    <row r="4960" spans="1:2" ht="15">
      <c r="A4960" s="113" t="s">
        <v>9265</v>
      </c>
      <c r="B4960" s="112" t="s">
        <v>11323</v>
      </c>
    </row>
    <row r="4961" spans="1:2" ht="15">
      <c r="A4961" s="113" t="s">
        <v>9266</v>
      </c>
      <c r="B4961" s="112" t="s">
        <v>11323</v>
      </c>
    </row>
    <row r="4962" spans="1:2" ht="15">
      <c r="A4962" s="113" t="s">
        <v>9267</v>
      </c>
      <c r="B4962" s="112" t="s">
        <v>11323</v>
      </c>
    </row>
    <row r="4963" spans="1:2" ht="15">
      <c r="A4963" s="113" t="s">
        <v>9268</v>
      </c>
      <c r="B4963" s="112" t="s">
        <v>11323</v>
      </c>
    </row>
    <row r="4964" spans="1:2" ht="15">
      <c r="A4964" s="113" t="s">
        <v>9269</v>
      </c>
      <c r="B4964" s="112" t="s">
        <v>11323</v>
      </c>
    </row>
    <row r="4965" spans="1:2" ht="15">
      <c r="A4965" s="113" t="s">
        <v>9270</v>
      </c>
      <c r="B4965" s="112" t="s">
        <v>11323</v>
      </c>
    </row>
    <row r="4966" spans="1:2" ht="15">
      <c r="A4966" s="113" t="s">
        <v>9271</v>
      </c>
      <c r="B4966" s="112" t="s">
        <v>11323</v>
      </c>
    </row>
    <row r="4967" spans="1:2" ht="15">
      <c r="A4967" s="113" t="s">
        <v>9272</v>
      </c>
      <c r="B4967" s="112" t="s">
        <v>11323</v>
      </c>
    </row>
    <row r="4968" spans="1:2" ht="15">
      <c r="A4968" s="113" t="s">
        <v>9273</v>
      </c>
      <c r="B4968" s="112" t="s">
        <v>11323</v>
      </c>
    </row>
    <row r="4969" spans="1:2" ht="15">
      <c r="A4969" s="113" t="s">
        <v>9274</v>
      </c>
      <c r="B4969" s="112" t="s">
        <v>11323</v>
      </c>
    </row>
    <row r="4970" spans="1:2" ht="15">
      <c r="A4970" s="113" t="s">
        <v>9275</v>
      </c>
      <c r="B4970" s="112" t="s">
        <v>11323</v>
      </c>
    </row>
    <row r="4971" spans="1:2" ht="15">
      <c r="A4971" s="113" t="s">
        <v>9276</v>
      </c>
      <c r="B4971" s="112" t="s">
        <v>11323</v>
      </c>
    </row>
    <row r="4972" spans="1:2" ht="15">
      <c r="A4972" s="113" t="s">
        <v>9277</v>
      </c>
      <c r="B4972" s="112" t="s">
        <v>11323</v>
      </c>
    </row>
    <row r="4973" spans="1:2" ht="15">
      <c r="A4973" s="113" t="s">
        <v>9278</v>
      </c>
      <c r="B4973" s="112" t="s">
        <v>11323</v>
      </c>
    </row>
    <row r="4974" spans="1:2" ht="15">
      <c r="A4974" s="113" t="s">
        <v>9279</v>
      </c>
      <c r="B4974" s="112" t="s">
        <v>11323</v>
      </c>
    </row>
    <row r="4975" spans="1:2" ht="15">
      <c r="A4975" s="113" t="s">
        <v>9280</v>
      </c>
      <c r="B4975" s="112" t="s">
        <v>11323</v>
      </c>
    </row>
    <row r="4976" spans="1:2" ht="15">
      <c r="A4976" s="113" t="s">
        <v>9281</v>
      </c>
      <c r="B4976" s="112" t="s">
        <v>11323</v>
      </c>
    </row>
    <row r="4977" spans="1:2" ht="15">
      <c r="A4977" s="113" t="s">
        <v>9282</v>
      </c>
      <c r="B4977" s="112" t="s">
        <v>11323</v>
      </c>
    </row>
    <row r="4978" spans="1:2" ht="15">
      <c r="A4978" s="113" t="s">
        <v>9283</v>
      </c>
      <c r="B4978" s="112" t="s">
        <v>11323</v>
      </c>
    </row>
    <row r="4979" spans="1:2" ht="15">
      <c r="A4979" s="113" t="s">
        <v>9284</v>
      </c>
      <c r="B4979" s="112" t="s">
        <v>11323</v>
      </c>
    </row>
    <row r="4980" spans="1:2" ht="15">
      <c r="A4980" s="113" t="s">
        <v>9285</v>
      </c>
      <c r="B4980" s="112" t="s">
        <v>11323</v>
      </c>
    </row>
    <row r="4981" spans="1:2" ht="15">
      <c r="A4981" s="113" t="s">
        <v>9286</v>
      </c>
      <c r="B4981" s="112" t="s">
        <v>11323</v>
      </c>
    </row>
    <row r="4982" spans="1:2" ht="15">
      <c r="A4982" s="113" t="s">
        <v>9287</v>
      </c>
      <c r="B4982" s="112" t="s">
        <v>11323</v>
      </c>
    </row>
    <row r="4983" spans="1:2" ht="15">
      <c r="A4983" s="113" t="s">
        <v>9288</v>
      </c>
      <c r="B4983" s="112" t="s">
        <v>11323</v>
      </c>
    </row>
    <row r="4984" spans="1:2" ht="15">
      <c r="A4984" s="113" t="s">
        <v>9289</v>
      </c>
      <c r="B4984" s="112" t="s">
        <v>11323</v>
      </c>
    </row>
    <row r="4985" spans="1:2" ht="15">
      <c r="A4985" s="113" t="s">
        <v>9290</v>
      </c>
      <c r="B4985" s="112" t="s">
        <v>11323</v>
      </c>
    </row>
    <row r="4986" spans="1:2" ht="15">
      <c r="A4986" s="113" t="s">
        <v>9291</v>
      </c>
      <c r="B4986" s="112" t="s">
        <v>11323</v>
      </c>
    </row>
    <row r="4987" spans="1:2" ht="15">
      <c r="A4987" s="113" t="s">
        <v>9292</v>
      </c>
      <c r="B4987" s="112" t="s">
        <v>11323</v>
      </c>
    </row>
    <row r="4988" spans="1:2" ht="15">
      <c r="A4988" s="113" t="s">
        <v>9293</v>
      </c>
      <c r="B4988" s="112" t="s">
        <v>11323</v>
      </c>
    </row>
    <row r="4989" spans="1:2" ht="15">
      <c r="A4989" s="113" t="s">
        <v>9294</v>
      </c>
      <c r="B4989" s="112" t="s">
        <v>11323</v>
      </c>
    </row>
    <row r="4990" spans="1:2" ht="15">
      <c r="A4990" s="113" t="s">
        <v>9295</v>
      </c>
      <c r="B4990" s="112" t="s">
        <v>11323</v>
      </c>
    </row>
    <row r="4991" spans="1:2" ht="15">
      <c r="A4991" s="113" t="s">
        <v>9296</v>
      </c>
      <c r="B4991" s="112" t="s">
        <v>11323</v>
      </c>
    </row>
    <row r="4992" spans="1:2" ht="15">
      <c r="A4992" s="113" t="s">
        <v>9297</v>
      </c>
      <c r="B4992" s="112" t="s">
        <v>11323</v>
      </c>
    </row>
    <row r="4993" spans="1:2" ht="15">
      <c r="A4993" s="113" t="s">
        <v>9298</v>
      </c>
      <c r="B4993" s="112" t="s">
        <v>11323</v>
      </c>
    </row>
    <row r="4994" spans="1:2" ht="15">
      <c r="A4994" s="113" t="s">
        <v>9299</v>
      </c>
      <c r="B4994" s="112" t="s">
        <v>11323</v>
      </c>
    </row>
    <row r="4995" spans="1:2" ht="15">
      <c r="A4995" s="113" t="s">
        <v>9300</v>
      </c>
      <c r="B4995" s="112" t="s">
        <v>11323</v>
      </c>
    </row>
    <row r="4996" spans="1:2" ht="15">
      <c r="A4996" s="113" t="s">
        <v>9301</v>
      </c>
      <c r="B4996" s="112" t="s">
        <v>11323</v>
      </c>
    </row>
    <row r="4997" spans="1:2" ht="15">
      <c r="A4997" s="113" t="s">
        <v>9302</v>
      </c>
      <c r="B4997" s="112" t="s">
        <v>11323</v>
      </c>
    </row>
    <row r="4998" spans="1:2" ht="15">
      <c r="A4998" s="113" t="s">
        <v>9303</v>
      </c>
      <c r="B4998" s="112" t="s">
        <v>11323</v>
      </c>
    </row>
    <row r="4999" spans="1:2" ht="15">
      <c r="A4999" s="113" t="s">
        <v>9304</v>
      </c>
      <c r="B4999" s="112" t="s">
        <v>11323</v>
      </c>
    </row>
    <row r="5000" spans="1:2" ht="15">
      <c r="A5000" s="113" t="s">
        <v>9305</v>
      </c>
      <c r="B5000" s="112" t="s">
        <v>11323</v>
      </c>
    </row>
    <row r="5001" spans="1:2" ht="15">
      <c r="A5001" s="113" t="s">
        <v>9306</v>
      </c>
      <c r="B5001" s="112" t="s">
        <v>11323</v>
      </c>
    </row>
    <row r="5002" spans="1:2" ht="15">
      <c r="A5002" s="113" t="s">
        <v>9307</v>
      </c>
      <c r="B5002" s="112" t="s">
        <v>11323</v>
      </c>
    </row>
    <row r="5003" spans="1:2" ht="15">
      <c r="A5003" s="113" t="s">
        <v>9308</v>
      </c>
      <c r="B5003" s="112" t="s">
        <v>11323</v>
      </c>
    </row>
    <row r="5004" spans="1:2" ht="15">
      <c r="A5004" s="113" t="s">
        <v>9309</v>
      </c>
      <c r="B5004" s="112" t="s">
        <v>11323</v>
      </c>
    </row>
    <row r="5005" spans="1:2" ht="15">
      <c r="A5005" s="113" t="s">
        <v>9310</v>
      </c>
      <c r="B5005" s="112" t="s">
        <v>11323</v>
      </c>
    </row>
    <row r="5006" spans="1:2" ht="15">
      <c r="A5006" s="113" t="s">
        <v>9311</v>
      </c>
      <c r="B5006" s="112" t="s">
        <v>11323</v>
      </c>
    </row>
    <row r="5007" spans="1:2" ht="15">
      <c r="A5007" s="113" t="s">
        <v>9312</v>
      </c>
      <c r="B5007" s="112" t="s">
        <v>11323</v>
      </c>
    </row>
    <row r="5008" spans="1:2" ht="15">
      <c r="A5008" s="113" t="s">
        <v>9313</v>
      </c>
      <c r="B5008" s="112" t="s">
        <v>11323</v>
      </c>
    </row>
    <row r="5009" spans="1:2" ht="15">
      <c r="A5009" s="113" t="s">
        <v>9314</v>
      </c>
      <c r="B5009" s="112" t="s">
        <v>11323</v>
      </c>
    </row>
    <row r="5010" spans="1:2" ht="15">
      <c r="A5010" s="113" t="s">
        <v>9315</v>
      </c>
      <c r="B5010" s="112" t="s">
        <v>11323</v>
      </c>
    </row>
    <row r="5011" spans="1:2" ht="15">
      <c r="A5011" s="113" t="s">
        <v>9316</v>
      </c>
      <c r="B5011" s="112" t="s">
        <v>11323</v>
      </c>
    </row>
    <row r="5012" spans="1:2" ht="15">
      <c r="A5012" s="113" t="s">
        <v>9317</v>
      </c>
      <c r="B5012" s="112" t="s">
        <v>11323</v>
      </c>
    </row>
    <row r="5013" spans="1:2" ht="15">
      <c r="A5013" s="113" t="s">
        <v>9318</v>
      </c>
      <c r="B5013" s="112" t="s">
        <v>11323</v>
      </c>
    </row>
    <row r="5014" spans="1:2" ht="15">
      <c r="A5014" s="113" t="s">
        <v>9319</v>
      </c>
      <c r="B5014" s="112" t="s">
        <v>11323</v>
      </c>
    </row>
    <row r="5015" spans="1:2" ht="15">
      <c r="A5015" s="113" t="s">
        <v>9320</v>
      </c>
      <c r="B5015" s="112" t="s">
        <v>11323</v>
      </c>
    </row>
    <row r="5016" spans="1:2" ht="15">
      <c r="A5016" s="113" t="s">
        <v>9321</v>
      </c>
      <c r="B5016" s="112" t="s">
        <v>11323</v>
      </c>
    </row>
    <row r="5017" spans="1:2" ht="15">
      <c r="A5017" s="113" t="s">
        <v>9322</v>
      </c>
      <c r="B5017" s="112" t="s">
        <v>11323</v>
      </c>
    </row>
    <row r="5018" spans="1:2" ht="15">
      <c r="A5018" s="113" t="s">
        <v>9323</v>
      </c>
      <c r="B5018" s="112" t="s">
        <v>11323</v>
      </c>
    </row>
    <row r="5019" spans="1:2" ht="15">
      <c r="A5019" s="113" t="s">
        <v>9324</v>
      </c>
      <c r="B5019" s="112" t="s">
        <v>11323</v>
      </c>
    </row>
    <row r="5020" spans="1:2" ht="15">
      <c r="A5020" s="113" t="s">
        <v>9325</v>
      </c>
      <c r="B5020" s="112" t="s">
        <v>11323</v>
      </c>
    </row>
    <row r="5021" spans="1:2" ht="15">
      <c r="A5021" s="113" t="s">
        <v>9326</v>
      </c>
      <c r="B5021" s="112" t="s">
        <v>11323</v>
      </c>
    </row>
    <row r="5022" spans="1:2" ht="15">
      <c r="A5022" s="113" t="s">
        <v>9327</v>
      </c>
      <c r="B5022" s="112" t="s">
        <v>11323</v>
      </c>
    </row>
    <row r="5023" spans="1:2" ht="15">
      <c r="A5023" s="113" t="s">
        <v>9328</v>
      </c>
      <c r="B5023" s="112" t="s">
        <v>11323</v>
      </c>
    </row>
    <row r="5024" spans="1:2" ht="15">
      <c r="A5024" s="113" t="s">
        <v>9329</v>
      </c>
      <c r="B5024" s="112" t="s">
        <v>11323</v>
      </c>
    </row>
    <row r="5025" spans="1:2" ht="15">
      <c r="A5025" s="113" t="s">
        <v>9330</v>
      </c>
      <c r="B5025" s="112" t="s">
        <v>11323</v>
      </c>
    </row>
    <row r="5026" spans="1:2" ht="15">
      <c r="A5026" s="113" t="s">
        <v>9331</v>
      </c>
      <c r="B5026" s="112" t="s">
        <v>11323</v>
      </c>
    </row>
    <row r="5027" spans="1:2" ht="15">
      <c r="A5027" s="113" t="s">
        <v>9332</v>
      </c>
      <c r="B5027" s="112" t="s">
        <v>11323</v>
      </c>
    </row>
    <row r="5028" spans="1:2" ht="15">
      <c r="A5028" s="113" t="s">
        <v>9333</v>
      </c>
      <c r="B5028" s="112" t="s">
        <v>11323</v>
      </c>
    </row>
    <row r="5029" spans="1:2" ht="15">
      <c r="A5029" s="113" t="s">
        <v>9334</v>
      </c>
      <c r="B5029" s="112" t="s">
        <v>11323</v>
      </c>
    </row>
    <row r="5030" spans="1:2" ht="15">
      <c r="A5030" s="113" t="s">
        <v>9335</v>
      </c>
      <c r="B5030" s="112" t="s">
        <v>11323</v>
      </c>
    </row>
    <row r="5031" spans="1:2" ht="15">
      <c r="A5031" s="113" t="s">
        <v>9336</v>
      </c>
      <c r="B5031" s="112" t="s">
        <v>11323</v>
      </c>
    </row>
    <row r="5032" spans="1:2" ht="15">
      <c r="A5032" s="113" t="s">
        <v>9337</v>
      </c>
      <c r="B5032" s="112" t="s">
        <v>11323</v>
      </c>
    </row>
    <row r="5033" spans="1:2" ht="15">
      <c r="A5033" s="113" t="s">
        <v>9338</v>
      </c>
      <c r="B5033" s="112" t="s">
        <v>11323</v>
      </c>
    </row>
    <row r="5034" spans="1:2" ht="15">
      <c r="A5034" s="113" t="s">
        <v>9339</v>
      </c>
      <c r="B5034" s="112" t="s">
        <v>11323</v>
      </c>
    </row>
    <row r="5035" spans="1:2" ht="15">
      <c r="A5035" s="113" t="s">
        <v>9340</v>
      </c>
      <c r="B5035" s="112" t="s">
        <v>11323</v>
      </c>
    </row>
    <row r="5036" spans="1:2" ht="15">
      <c r="A5036" s="113" t="s">
        <v>9341</v>
      </c>
      <c r="B5036" s="112" t="s">
        <v>11323</v>
      </c>
    </row>
    <row r="5037" spans="1:2" ht="15">
      <c r="A5037" s="113" t="s">
        <v>9342</v>
      </c>
      <c r="B5037" s="112" t="s">
        <v>11323</v>
      </c>
    </row>
    <row r="5038" spans="1:2" ht="15">
      <c r="A5038" s="113" t="s">
        <v>9343</v>
      </c>
      <c r="B5038" s="112" t="s">
        <v>11323</v>
      </c>
    </row>
    <row r="5039" spans="1:2" ht="15">
      <c r="A5039" s="113" t="s">
        <v>9344</v>
      </c>
      <c r="B5039" s="112" t="s">
        <v>11323</v>
      </c>
    </row>
    <row r="5040" spans="1:2" ht="15">
      <c r="A5040" s="113" t="s">
        <v>9345</v>
      </c>
      <c r="B5040" s="112" t="s">
        <v>11323</v>
      </c>
    </row>
    <row r="5041" spans="1:2" ht="15">
      <c r="A5041" s="113" t="s">
        <v>9346</v>
      </c>
      <c r="B5041" s="112" t="s">
        <v>11323</v>
      </c>
    </row>
    <row r="5042" spans="1:2" ht="15">
      <c r="A5042" s="113" t="s">
        <v>9347</v>
      </c>
      <c r="B5042" s="112" t="s">
        <v>11323</v>
      </c>
    </row>
    <row r="5043" spans="1:2" ht="15">
      <c r="A5043" s="113" t="s">
        <v>9348</v>
      </c>
      <c r="B5043" s="112" t="s">
        <v>11323</v>
      </c>
    </row>
    <row r="5044" spans="1:2" ht="15">
      <c r="A5044" s="113" t="s">
        <v>9349</v>
      </c>
      <c r="B5044" s="112" t="s">
        <v>11323</v>
      </c>
    </row>
    <row r="5045" spans="1:2" ht="15">
      <c r="A5045" s="113" t="s">
        <v>9350</v>
      </c>
      <c r="B5045" s="112" t="s">
        <v>11323</v>
      </c>
    </row>
    <row r="5046" spans="1:2" ht="15">
      <c r="A5046" s="113" t="s">
        <v>9351</v>
      </c>
      <c r="B5046" s="112" t="s">
        <v>11323</v>
      </c>
    </row>
    <row r="5047" spans="1:2" ht="15">
      <c r="A5047" s="113" t="s">
        <v>9352</v>
      </c>
      <c r="B5047" s="112" t="s">
        <v>11323</v>
      </c>
    </row>
    <row r="5048" spans="1:2" ht="15">
      <c r="A5048" s="113" t="s">
        <v>9353</v>
      </c>
      <c r="B5048" s="112" t="s">
        <v>11323</v>
      </c>
    </row>
    <row r="5049" spans="1:2" ht="15">
      <c r="A5049" s="113" t="s">
        <v>9354</v>
      </c>
      <c r="B5049" s="112" t="s">
        <v>11323</v>
      </c>
    </row>
    <row r="5050" spans="1:2" ht="15">
      <c r="A5050" s="113" t="s">
        <v>9355</v>
      </c>
      <c r="B5050" s="112" t="s">
        <v>11323</v>
      </c>
    </row>
    <row r="5051" spans="1:2" ht="15">
      <c r="A5051" s="113" t="s">
        <v>9356</v>
      </c>
      <c r="B5051" s="112" t="s">
        <v>11323</v>
      </c>
    </row>
    <row r="5052" spans="1:2" ht="15">
      <c r="A5052" s="113" t="s">
        <v>9357</v>
      </c>
      <c r="B5052" s="112" t="s">
        <v>11323</v>
      </c>
    </row>
    <row r="5053" spans="1:2" ht="15">
      <c r="A5053" s="113" t="s">
        <v>9358</v>
      </c>
      <c r="B5053" s="112" t="s">
        <v>11323</v>
      </c>
    </row>
    <row r="5054" spans="1:2" ht="15">
      <c r="A5054" s="113" t="s">
        <v>9359</v>
      </c>
      <c r="B5054" s="112" t="s">
        <v>11323</v>
      </c>
    </row>
    <row r="5055" spans="1:2" ht="15">
      <c r="A5055" s="113" t="s">
        <v>9360</v>
      </c>
      <c r="B5055" s="112" t="s">
        <v>11323</v>
      </c>
    </row>
    <row r="5056" spans="1:2" ht="15">
      <c r="A5056" s="113" t="s">
        <v>9361</v>
      </c>
      <c r="B5056" s="112" t="s">
        <v>11323</v>
      </c>
    </row>
    <row r="5057" spans="1:2" ht="15">
      <c r="A5057" s="113" t="s">
        <v>9362</v>
      </c>
      <c r="B5057" s="112" t="s">
        <v>11323</v>
      </c>
    </row>
    <row r="5058" spans="1:2" ht="15">
      <c r="A5058" s="113" t="s">
        <v>9363</v>
      </c>
      <c r="B5058" s="112" t="s">
        <v>11323</v>
      </c>
    </row>
    <row r="5059" spans="1:2" ht="15">
      <c r="A5059" s="113" t="s">
        <v>9364</v>
      </c>
      <c r="B5059" s="112" t="s">
        <v>11323</v>
      </c>
    </row>
    <row r="5060" spans="1:2" ht="15">
      <c r="A5060" s="113" t="s">
        <v>9365</v>
      </c>
      <c r="B5060" s="112" t="s">
        <v>11323</v>
      </c>
    </row>
    <row r="5061" spans="1:2" ht="15">
      <c r="A5061" s="113" t="s">
        <v>9366</v>
      </c>
      <c r="B5061" s="112" t="s">
        <v>11323</v>
      </c>
    </row>
    <row r="5062" spans="1:2" ht="15">
      <c r="A5062" s="113" t="s">
        <v>9367</v>
      </c>
      <c r="B5062" s="112" t="s">
        <v>11323</v>
      </c>
    </row>
    <row r="5063" spans="1:2" ht="15">
      <c r="A5063" s="113" t="s">
        <v>9368</v>
      </c>
      <c r="B5063" s="112" t="s">
        <v>11323</v>
      </c>
    </row>
    <row r="5064" spans="1:2" ht="15">
      <c r="A5064" s="113" t="s">
        <v>9369</v>
      </c>
      <c r="B5064" s="112" t="s">
        <v>11323</v>
      </c>
    </row>
    <row r="5065" spans="1:2" ht="15">
      <c r="A5065" s="113" t="s">
        <v>9370</v>
      </c>
      <c r="B5065" s="112" t="s">
        <v>11323</v>
      </c>
    </row>
    <row r="5066" spans="1:2" ht="15">
      <c r="A5066" s="113" t="s">
        <v>9371</v>
      </c>
      <c r="B5066" s="112" t="s">
        <v>11323</v>
      </c>
    </row>
    <row r="5067" spans="1:2" ht="15">
      <c r="A5067" s="113" t="s">
        <v>9372</v>
      </c>
      <c r="B5067" s="112" t="s">
        <v>11323</v>
      </c>
    </row>
    <row r="5068" spans="1:2" ht="15">
      <c r="A5068" s="113" t="s">
        <v>9373</v>
      </c>
      <c r="B5068" s="112" t="s">
        <v>11323</v>
      </c>
    </row>
    <row r="5069" spans="1:2" ht="15">
      <c r="A5069" s="113" t="s">
        <v>9374</v>
      </c>
      <c r="B5069" s="112" t="s">
        <v>11323</v>
      </c>
    </row>
    <row r="5070" spans="1:2" ht="15">
      <c r="A5070" s="113" t="s">
        <v>9375</v>
      </c>
      <c r="B5070" s="112" t="s">
        <v>11323</v>
      </c>
    </row>
    <row r="5071" spans="1:2" ht="15">
      <c r="A5071" s="113" t="s">
        <v>9376</v>
      </c>
      <c r="B5071" s="112" t="s">
        <v>11323</v>
      </c>
    </row>
    <row r="5072" spans="1:2" ht="15">
      <c r="A5072" s="113" t="s">
        <v>9377</v>
      </c>
      <c r="B5072" s="112" t="s">
        <v>11323</v>
      </c>
    </row>
    <row r="5073" spans="1:2" ht="15">
      <c r="A5073" s="113" t="s">
        <v>9378</v>
      </c>
      <c r="B5073" s="112" t="s">
        <v>11323</v>
      </c>
    </row>
    <row r="5074" spans="1:2" ht="15">
      <c r="A5074" s="113" t="s">
        <v>9379</v>
      </c>
      <c r="B5074" s="112" t="s">
        <v>11323</v>
      </c>
    </row>
    <row r="5075" spans="1:2" ht="15">
      <c r="A5075" s="113" t="s">
        <v>9380</v>
      </c>
      <c r="B5075" s="112" t="s">
        <v>11323</v>
      </c>
    </row>
    <row r="5076" spans="1:2" ht="15">
      <c r="A5076" s="113" t="s">
        <v>9381</v>
      </c>
      <c r="B5076" s="112" t="s">
        <v>11323</v>
      </c>
    </row>
    <row r="5077" spans="1:2" ht="15">
      <c r="A5077" s="113" t="s">
        <v>9382</v>
      </c>
      <c r="B5077" s="112" t="s">
        <v>11323</v>
      </c>
    </row>
    <row r="5078" spans="1:2" ht="15">
      <c r="A5078" s="113" t="s">
        <v>9383</v>
      </c>
      <c r="B5078" s="112" t="s">
        <v>11323</v>
      </c>
    </row>
    <row r="5079" spans="1:2" ht="15">
      <c r="A5079" s="113" t="s">
        <v>9384</v>
      </c>
      <c r="B5079" s="112" t="s">
        <v>11323</v>
      </c>
    </row>
    <row r="5080" spans="1:2" ht="15">
      <c r="A5080" s="113" t="s">
        <v>9385</v>
      </c>
      <c r="B5080" s="112" t="s">
        <v>11323</v>
      </c>
    </row>
    <row r="5081" spans="1:2" ht="15">
      <c r="A5081" s="113" t="s">
        <v>9386</v>
      </c>
      <c r="B5081" s="112" t="s">
        <v>11323</v>
      </c>
    </row>
    <row r="5082" spans="1:2" ht="15">
      <c r="A5082" s="113" t="s">
        <v>9387</v>
      </c>
      <c r="B5082" s="112" t="s">
        <v>11323</v>
      </c>
    </row>
    <row r="5083" spans="1:2" ht="15">
      <c r="A5083" s="113" t="s">
        <v>9388</v>
      </c>
      <c r="B5083" s="112" t="s">
        <v>11323</v>
      </c>
    </row>
    <row r="5084" spans="1:2" ht="15">
      <c r="A5084" s="113" t="s">
        <v>9389</v>
      </c>
      <c r="B5084" s="112" t="s">
        <v>11323</v>
      </c>
    </row>
    <row r="5085" spans="1:2" ht="15">
      <c r="A5085" s="113" t="s">
        <v>9390</v>
      </c>
      <c r="B5085" s="112" t="s">
        <v>11323</v>
      </c>
    </row>
    <row r="5086" spans="1:2" ht="15">
      <c r="A5086" s="113" t="s">
        <v>9391</v>
      </c>
      <c r="B5086" s="112" t="s">
        <v>11323</v>
      </c>
    </row>
    <row r="5087" spans="1:2" ht="15">
      <c r="A5087" s="113" t="s">
        <v>9392</v>
      </c>
      <c r="B5087" s="112" t="s">
        <v>11323</v>
      </c>
    </row>
    <row r="5088" spans="1:2" ht="15">
      <c r="A5088" s="113" t="s">
        <v>9393</v>
      </c>
      <c r="B5088" s="112" t="s">
        <v>11323</v>
      </c>
    </row>
    <row r="5089" spans="1:2" ht="15">
      <c r="A5089" s="113" t="s">
        <v>9394</v>
      </c>
      <c r="B5089" s="112" t="s">
        <v>11323</v>
      </c>
    </row>
    <row r="5090" spans="1:2" ht="15">
      <c r="A5090" s="113" t="s">
        <v>9395</v>
      </c>
      <c r="B5090" s="112" t="s">
        <v>11323</v>
      </c>
    </row>
    <row r="5091" spans="1:2" ht="15">
      <c r="A5091" s="113" t="s">
        <v>9396</v>
      </c>
      <c r="B5091" s="112" t="s">
        <v>11323</v>
      </c>
    </row>
    <row r="5092" spans="1:2" ht="15">
      <c r="A5092" s="113" t="s">
        <v>9397</v>
      </c>
      <c r="B5092" s="112" t="s">
        <v>11323</v>
      </c>
    </row>
    <row r="5093" spans="1:2" ht="15">
      <c r="A5093" s="113" t="s">
        <v>9398</v>
      </c>
      <c r="B5093" s="112" t="s">
        <v>11323</v>
      </c>
    </row>
    <row r="5094" spans="1:2" ht="15">
      <c r="A5094" s="113" t="s">
        <v>9399</v>
      </c>
      <c r="B5094" s="112" t="s">
        <v>11323</v>
      </c>
    </row>
    <row r="5095" spans="1:2" ht="15">
      <c r="A5095" s="113" t="s">
        <v>9400</v>
      </c>
      <c r="B5095" s="112" t="s">
        <v>11323</v>
      </c>
    </row>
    <row r="5096" spans="1:2" ht="15">
      <c r="A5096" s="113" t="s">
        <v>9401</v>
      </c>
      <c r="B5096" s="112" t="s">
        <v>11323</v>
      </c>
    </row>
    <row r="5097" spans="1:2" ht="15">
      <c r="A5097" s="113" t="s">
        <v>9402</v>
      </c>
      <c r="B5097" s="112" t="s">
        <v>11323</v>
      </c>
    </row>
    <row r="5098" spans="1:2" ht="15">
      <c r="A5098" s="113" t="s">
        <v>9403</v>
      </c>
      <c r="B5098" s="112" t="s">
        <v>11323</v>
      </c>
    </row>
    <row r="5099" spans="1:2" ht="15">
      <c r="A5099" s="113" t="s">
        <v>9404</v>
      </c>
      <c r="B5099" s="112" t="s">
        <v>11323</v>
      </c>
    </row>
    <row r="5100" spans="1:2" ht="15">
      <c r="A5100" s="113" t="s">
        <v>9405</v>
      </c>
      <c r="B5100" s="112" t="s">
        <v>11323</v>
      </c>
    </row>
    <row r="5101" spans="1:2" ht="15">
      <c r="A5101" s="113" t="s">
        <v>9406</v>
      </c>
      <c r="B5101" s="112" t="s">
        <v>11323</v>
      </c>
    </row>
    <row r="5102" spans="1:2" ht="15">
      <c r="A5102" s="113" t="s">
        <v>9407</v>
      </c>
      <c r="B5102" s="112" t="s">
        <v>11323</v>
      </c>
    </row>
    <row r="5103" spans="1:2" ht="15">
      <c r="A5103" s="113" t="s">
        <v>9408</v>
      </c>
      <c r="B5103" s="112" t="s">
        <v>11323</v>
      </c>
    </row>
    <row r="5104" spans="1:2" ht="15">
      <c r="A5104" s="113" t="s">
        <v>9409</v>
      </c>
      <c r="B5104" s="112" t="s">
        <v>11323</v>
      </c>
    </row>
    <row r="5105" spans="1:2" ht="15">
      <c r="A5105" s="113" t="s">
        <v>9410</v>
      </c>
      <c r="B5105" s="112" t="s">
        <v>11323</v>
      </c>
    </row>
    <row r="5106" spans="1:2" ht="15">
      <c r="A5106" s="113" t="s">
        <v>9411</v>
      </c>
      <c r="B5106" s="112" t="s">
        <v>11323</v>
      </c>
    </row>
    <row r="5107" spans="1:2" ht="15">
      <c r="A5107" s="113" t="s">
        <v>9412</v>
      </c>
      <c r="B5107" s="112" t="s">
        <v>11323</v>
      </c>
    </row>
    <row r="5108" spans="1:2" ht="15">
      <c r="A5108" s="113" t="s">
        <v>9413</v>
      </c>
      <c r="B5108" s="112" t="s">
        <v>11323</v>
      </c>
    </row>
    <row r="5109" spans="1:2" ht="15">
      <c r="A5109" s="113" t="s">
        <v>9414</v>
      </c>
      <c r="B5109" s="112" t="s">
        <v>11323</v>
      </c>
    </row>
    <row r="5110" spans="1:2" ht="15">
      <c r="A5110" s="113" t="s">
        <v>9415</v>
      </c>
      <c r="B5110" s="112" t="s">
        <v>11323</v>
      </c>
    </row>
    <row r="5111" spans="1:2" ht="15">
      <c r="A5111" s="113" t="s">
        <v>9416</v>
      </c>
      <c r="B5111" s="112" t="s">
        <v>11323</v>
      </c>
    </row>
    <row r="5112" spans="1:2" ht="15">
      <c r="A5112" s="113" t="s">
        <v>9417</v>
      </c>
      <c r="B5112" s="112" t="s">
        <v>11323</v>
      </c>
    </row>
    <row r="5113" spans="1:2" ht="15">
      <c r="A5113" s="113" t="s">
        <v>9418</v>
      </c>
      <c r="B5113" s="112" t="s">
        <v>11323</v>
      </c>
    </row>
    <row r="5114" spans="1:2" ht="15">
      <c r="A5114" s="113" t="s">
        <v>9419</v>
      </c>
      <c r="B5114" s="112" t="s">
        <v>11323</v>
      </c>
    </row>
    <row r="5115" spans="1:2" ht="15">
      <c r="A5115" s="113" t="s">
        <v>9420</v>
      </c>
      <c r="B5115" s="112" t="s">
        <v>11323</v>
      </c>
    </row>
    <row r="5116" spans="1:2" ht="15">
      <c r="A5116" s="113" t="s">
        <v>9421</v>
      </c>
      <c r="B5116" s="112" t="s">
        <v>11323</v>
      </c>
    </row>
    <row r="5117" spans="1:2" ht="15">
      <c r="A5117" s="113" t="s">
        <v>9422</v>
      </c>
      <c r="B5117" s="112" t="s">
        <v>11323</v>
      </c>
    </row>
    <row r="5118" spans="1:2" ht="15">
      <c r="A5118" s="113" t="s">
        <v>9423</v>
      </c>
      <c r="B5118" s="112" t="s">
        <v>11323</v>
      </c>
    </row>
    <row r="5119" spans="1:2" ht="15">
      <c r="A5119" s="113" t="s">
        <v>9424</v>
      </c>
      <c r="B5119" s="112" t="s">
        <v>11323</v>
      </c>
    </row>
    <row r="5120" spans="1:2" ht="15">
      <c r="A5120" s="113" t="s">
        <v>9425</v>
      </c>
      <c r="B5120" s="112" t="s">
        <v>11323</v>
      </c>
    </row>
    <row r="5121" spans="1:2" ht="15">
      <c r="A5121" s="113" t="s">
        <v>9426</v>
      </c>
      <c r="B5121" s="112" t="s">
        <v>11323</v>
      </c>
    </row>
    <row r="5122" spans="1:2" ht="15">
      <c r="A5122" s="113" t="s">
        <v>9427</v>
      </c>
      <c r="B5122" s="112" t="s">
        <v>11323</v>
      </c>
    </row>
    <row r="5123" spans="1:2" ht="15">
      <c r="A5123" s="113" t="s">
        <v>9428</v>
      </c>
      <c r="B5123" s="112" t="s">
        <v>11323</v>
      </c>
    </row>
    <row r="5124" spans="1:2" ht="15">
      <c r="A5124" s="113" t="s">
        <v>9429</v>
      </c>
      <c r="B5124" s="112" t="s">
        <v>11323</v>
      </c>
    </row>
    <row r="5125" spans="1:2" ht="15">
      <c r="A5125" s="113" t="s">
        <v>9430</v>
      </c>
      <c r="B5125" s="112" t="s">
        <v>11323</v>
      </c>
    </row>
    <row r="5126" spans="1:2" ht="15">
      <c r="A5126" s="113" t="s">
        <v>9431</v>
      </c>
      <c r="B5126" s="112" t="s">
        <v>11323</v>
      </c>
    </row>
    <row r="5127" spans="1:2" ht="15">
      <c r="A5127" s="113" t="s">
        <v>9432</v>
      </c>
      <c r="B5127" s="112" t="s">
        <v>11323</v>
      </c>
    </row>
    <row r="5128" spans="1:2" ht="15">
      <c r="A5128" s="113" t="s">
        <v>9433</v>
      </c>
      <c r="B5128" s="112" t="s">
        <v>11323</v>
      </c>
    </row>
    <row r="5129" spans="1:2" ht="15">
      <c r="A5129" s="113" t="s">
        <v>9434</v>
      </c>
      <c r="B5129" s="112" t="s">
        <v>11323</v>
      </c>
    </row>
    <row r="5130" spans="1:2" ht="15">
      <c r="A5130" s="113" t="s">
        <v>9435</v>
      </c>
      <c r="B5130" s="112" t="s">
        <v>11323</v>
      </c>
    </row>
    <row r="5131" spans="1:2" ht="15">
      <c r="A5131" s="113" t="s">
        <v>9436</v>
      </c>
      <c r="B5131" s="112" t="s">
        <v>11323</v>
      </c>
    </row>
    <row r="5132" spans="1:2" ht="15">
      <c r="A5132" s="113" t="s">
        <v>9437</v>
      </c>
      <c r="B5132" s="112" t="s">
        <v>11323</v>
      </c>
    </row>
    <row r="5133" spans="1:2" ht="15">
      <c r="A5133" s="113" t="s">
        <v>9438</v>
      </c>
      <c r="B5133" s="112" t="s">
        <v>11323</v>
      </c>
    </row>
    <row r="5134" spans="1:2" ht="15">
      <c r="A5134" s="113" t="s">
        <v>9439</v>
      </c>
      <c r="B5134" s="112" t="s">
        <v>11323</v>
      </c>
    </row>
    <row r="5135" spans="1:2" ht="15">
      <c r="A5135" s="113" t="s">
        <v>9440</v>
      </c>
      <c r="B5135" s="112" t="s">
        <v>11323</v>
      </c>
    </row>
    <row r="5136" spans="1:2" ht="15">
      <c r="A5136" s="113" t="s">
        <v>9441</v>
      </c>
      <c r="B5136" s="112" t="s">
        <v>11323</v>
      </c>
    </row>
    <row r="5137" spans="1:2" ht="15">
      <c r="A5137" s="113" t="s">
        <v>9442</v>
      </c>
      <c r="B5137" s="112" t="s">
        <v>11323</v>
      </c>
    </row>
    <row r="5138" spans="1:2" ht="15">
      <c r="A5138" s="113" t="s">
        <v>9443</v>
      </c>
      <c r="B5138" s="112" t="s">
        <v>11323</v>
      </c>
    </row>
    <row r="5139" spans="1:2" ht="15">
      <c r="A5139" s="113" t="s">
        <v>9444</v>
      </c>
      <c r="B5139" s="112" t="s">
        <v>11323</v>
      </c>
    </row>
    <row r="5140" spans="1:2" ht="15">
      <c r="A5140" s="113" t="s">
        <v>9445</v>
      </c>
      <c r="B5140" s="112" t="s">
        <v>11323</v>
      </c>
    </row>
    <row r="5141" spans="1:2" ht="15">
      <c r="A5141" s="113" t="s">
        <v>9446</v>
      </c>
      <c r="B5141" s="112" t="s">
        <v>11323</v>
      </c>
    </row>
    <row r="5142" spans="1:2" ht="15">
      <c r="A5142" s="113" t="s">
        <v>9447</v>
      </c>
      <c r="B5142" s="112" t="s">
        <v>11323</v>
      </c>
    </row>
    <row r="5143" spans="1:2" ht="15">
      <c r="A5143" s="113" t="s">
        <v>9448</v>
      </c>
      <c r="B5143" s="112" t="s">
        <v>11323</v>
      </c>
    </row>
    <row r="5144" spans="1:2" ht="15">
      <c r="A5144" s="113" t="s">
        <v>9449</v>
      </c>
      <c r="B5144" s="112" t="s">
        <v>11323</v>
      </c>
    </row>
    <row r="5145" spans="1:2" ht="15">
      <c r="A5145" s="113" t="s">
        <v>9450</v>
      </c>
      <c r="B5145" s="112" t="s">
        <v>11323</v>
      </c>
    </row>
    <row r="5146" spans="1:2" ht="15">
      <c r="A5146" s="113" t="s">
        <v>9451</v>
      </c>
      <c r="B5146" s="112" t="s">
        <v>11323</v>
      </c>
    </row>
    <row r="5147" spans="1:2" ht="15">
      <c r="A5147" s="113" t="s">
        <v>9452</v>
      </c>
      <c r="B5147" s="112" t="s">
        <v>11323</v>
      </c>
    </row>
    <row r="5148" spans="1:2" ht="15">
      <c r="A5148" s="113" t="s">
        <v>9453</v>
      </c>
      <c r="B5148" s="112" t="s">
        <v>11323</v>
      </c>
    </row>
    <row r="5149" spans="1:2" ht="15">
      <c r="A5149" s="113" t="s">
        <v>9454</v>
      </c>
      <c r="B5149" s="112" t="s">
        <v>11323</v>
      </c>
    </row>
    <row r="5150" spans="1:2" ht="15">
      <c r="A5150" s="113" t="s">
        <v>9455</v>
      </c>
      <c r="B5150" s="112" t="s">
        <v>11323</v>
      </c>
    </row>
    <row r="5151" spans="1:2" ht="15">
      <c r="A5151" s="113" t="s">
        <v>9456</v>
      </c>
      <c r="B5151" s="112" t="s">
        <v>11323</v>
      </c>
    </row>
    <row r="5152" spans="1:2" ht="15">
      <c r="A5152" s="113" t="s">
        <v>9457</v>
      </c>
      <c r="B5152" s="112" t="s">
        <v>11323</v>
      </c>
    </row>
    <row r="5153" spans="1:2" ht="15">
      <c r="A5153" s="113" t="s">
        <v>9458</v>
      </c>
      <c r="B5153" s="112" t="s">
        <v>11323</v>
      </c>
    </row>
    <row r="5154" spans="1:2" ht="15">
      <c r="A5154" s="113" t="s">
        <v>9459</v>
      </c>
      <c r="B5154" s="112" t="s">
        <v>11323</v>
      </c>
    </row>
    <row r="5155" spans="1:2" ht="15">
      <c r="A5155" s="113" t="s">
        <v>9460</v>
      </c>
      <c r="B5155" s="112" t="s">
        <v>11323</v>
      </c>
    </row>
    <row r="5156" spans="1:2" ht="15">
      <c r="A5156" s="113" t="s">
        <v>9461</v>
      </c>
      <c r="B5156" s="112" t="s">
        <v>11323</v>
      </c>
    </row>
    <row r="5157" spans="1:2" ht="15">
      <c r="A5157" s="113" t="s">
        <v>9462</v>
      </c>
      <c r="B5157" s="112" t="s">
        <v>11323</v>
      </c>
    </row>
    <row r="5158" spans="1:2" ht="15">
      <c r="A5158" s="113" t="s">
        <v>9463</v>
      </c>
      <c r="B5158" s="112" t="s">
        <v>11323</v>
      </c>
    </row>
    <row r="5159" spans="1:2" ht="15">
      <c r="A5159" s="113" t="s">
        <v>9464</v>
      </c>
      <c r="B5159" s="112" t="s">
        <v>11323</v>
      </c>
    </row>
    <row r="5160" spans="1:2" ht="15">
      <c r="A5160" s="113" t="s">
        <v>9465</v>
      </c>
      <c r="B5160" s="112" t="s">
        <v>11323</v>
      </c>
    </row>
    <row r="5161" spans="1:2" ht="15">
      <c r="A5161" s="113" t="s">
        <v>9466</v>
      </c>
      <c r="B5161" s="112" t="s">
        <v>11323</v>
      </c>
    </row>
    <row r="5162" spans="1:2" ht="15">
      <c r="A5162" s="113" t="s">
        <v>9467</v>
      </c>
      <c r="B5162" s="112" t="s">
        <v>11323</v>
      </c>
    </row>
    <row r="5163" spans="1:2" ht="15">
      <c r="A5163" s="113" t="s">
        <v>9468</v>
      </c>
      <c r="B5163" s="112" t="s">
        <v>11323</v>
      </c>
    </row>
    <row r="5164" spans="1:2" ht="15">
      <c r="A5164" s="113" t="s">
        <v>9469</v>
      </c>
      <c r="B5164" s="112" t="s">
        <v>11323</v>
      </c>
    </row>
    <row r="5165" spans="1:2" ht="15">
      <c r="A5165" s="113" t="s">
        <v>9470</v>
      </c>
      <c r="B5165" s="112" t="s">
        <v>11323</v>
      </c>
    </row>
    <row r="5166" spans="1:2" ht="15">
      <c r="A5166" s="113" t="s">
        <v>9471</v>
      </c>
      <c r="B5166" s="112" t="s">
        <v>11323</v>
      </c>
    </row>
    <row r="5167" spans="1:2" ht="15">
      <c r="A5167" s="113" t="s">
        <v>9472</v>
      </c>
      <c r="B5167" s="112" t="s">
        <v>11323</v>
      </c>
    </row>
    <row r="5168" spans="1:2" ht="15">
      <c r="A5168" s="113" t="s">
        <v>9473</v>
      </c>
      <c r="B5168" s="112" t="s">
        <v>11323</v>
      </c>
    </row>
    <row r="5169" spans="1:2" ht="15">
      <c r="A5169" s="113" t="s">
        <v>9474</v>
      </c>
      <c r="B5169" s="112" t="s">
        <v>11323</v>
      </c>
    </row>
    <row r="5170" spans="1:2" ht="15">
      <c r="A5170" s="113" t="s">
        <v>9475</v>
      </c>
      <c r="B5170" s="112" t="s">
        <v>11323</v>
      </c>
    </row>
    <row r="5171" spans="1:2" ht="15">
      <c r="A5171" s="113" t="s">
        <v>9476</v>
      </c>
      <c r="B5171" s="112" t="s">
        <v>11323</v>
      </c>
    </row>
    <row r="5172" spans="1:2" ht="15">
      <c r="A5172" s="113" t="s">
        <v>9477</v>
      </c>
      <c r="B5172" s="112" t="s">
        <v>11323</v>
      </c>
    </row>
    <row r="5173" spans="1:2" ht="15">
      <c r="A5173" s="113" t="s">
        <v>9478</v>
      </c>
      <c r="B5173" s="112" t="s">
        <v>11323</v>
      </c>
    </row>
    <row r="5174" spans="1:2" ht="15">
      <c r="A5174" s="113" t="s">
        <v>9479</v>
      </c>
      <c r="B5174" s="112" t="s">
        <v>11323</v>
      </c>
    </row>
    <row r="5175" spans="1:2" ht="15">
      <c r="A5175" s="113" t="s">
        <v>9480</v>
      </c>
      <c r="B5175" s="112" t="s">
        <v>11323</v>
      </c>
    </row>
    <row r="5176" spans="1:2" ht="15">
      <c r="A5176" s="113" t="s">
        <v>9481</v>
      </c>
      <c r="B5176" s="112" t="s">
        <v>11323</v>
      </c>
    </row>
    <row r="5177" spans="1:2" ht="15">
      <c r="A5177" s="113" t="s">
        <v>9482</v>
      </c>
      <c r="B5177" s="112" t="s">
        <v>11323</v>
      </c>
    </row>
    <row r="5178" spans="1:2" ht="15">
      <c r="A5178" s="113" t="s">
        <v>9483</v>
      </c>
      <c r="B5178" s="112" t="s">
        <v>11323</v>
      </c>
    </row>
    <row r="5179" spans="1:2" ht="15">
      <c r="A5179" s="113" t="s">
        <v>9484</v>
      </c>
      <c r="B5179" s="112" t="s">
        <v>11323</v>
      </c>
    </row>
    <row r="5180" spans="1:2" ht="15">
      <c r="A5180" s="113" t="s">
        <v>9485</v>
      </c>
      <c r="B5180" s="112" t="s">
        <v>11323</v>
      </c>
    </row>
    <row r="5181" spans="1:2" ht="15">
      <c r="A5181" s="113" t="s">
        <v>9486</v>
      </c>
      <c r="B5181" s="112" t="s">
        <v>11323</v>
      </c>
    </row>
    <row r="5182" spans="1:2" ht="15">
      <c r="A5182" s="113" t="s">
        <v>9487</v>
      </c>
      <c r="B5182" s="112" t="s">
        <v>11323</v>
      </c>
    </row>
    <row r="5183" spans="1:2" ht="15">
      <c r="A5183" s="113" t="s">
        <v>9488</v>
      </c>
      <c r="B5183" s="112" t="s">
        <v>11323</v>
      </c>
    </row>
    <row r="5184" spans="1:2" ht="15">
      <c r="A5184" s="113" t="s">
        <v>9489</v>
      </c>
      <c r="B5184" s="112" t="s">
        <v>11323</v>
      </c>
    </row>
    <row r="5185" spans="1:2" ht="15">
      <c r="A5185" s="113" t="s">
        <v>9490</v>
      </c>
      <c r="B5185" s="112" t="s">
        <v>11323</v>
      </c>
    </row>
    <row r="5186" spans="1:2" ht="15">
      <c r="A5186" s="113" t="s">
        <v>9491</v>
      </c>
      <c r="B5186" s="112" t="s">
        <v>11323</v>
      </c>
    </row>
    <row r="5187" spans="1:2" ht="15">
      <c r="A5187" s="113" t="s">
        <v>9492</v>
      </c>
      <c r="B5187" s="112" t="s">
        <v>11323</v>
      </c>
    </row>
    <row r="5188" spans="1:2" ht="15">
      <c r="A5188" s="113" t="s">
        <v>9493</v>
      </c>
      <c r="B5188" s="112" t="s">
        <v>11323</v>
      </c>
    </row>
    <row r="5189" spans="1:2" ht="15">
      <c r="A5189" s="113" t="s">
        <v>9494</v>
      </c>
      <c r="B5189" s="112" t="s">
        <v>11323</v>
      </c>
    </row>
    <row r="5190" spans="1:2" ht="15">
      <c r="A5190" s="113" t="s">
        <v>9495</v>
      </c>
      <c r="B5190" s="112" t="s">
        <v>11323</v>
      </c>
    </row>
    <row r="5191" spans="1:2" ht="15">
      <c r="A5191" s="113" t="s">
        <v>9496</v>
      </c>
      <c r="B5191" s="112" t="s">
        <v>11323</v>
      </c>
    </row>
    <row r="5192" spans="1:2" ht="15">
      <c r="A5192" s="113" t="s">
        <v>9497</v>
      </c>
      <c r="B5192" s="112" t="s">
        <v>11323</v>
      </c>
    </row>
    <row r="5193" spans="1:2" ht="15">
      <c r="A5193" s="113" t="s">
        <v>9498</v>
      </c>
      <c r="B5193" s="112" t="s">
        <v>11323</v>
      </c>
    </row>
    <row r="5194" spans="1:2" ht="15">
      <c r="A5194" s="113" t="s">
        <v>9499</v>
      </c>
      <c r="B5194" s="112" t="s">
        <v>11323</v>
      </c>
    </row>
    <row r="5195" spans="1:2" ht="15">
      <c r="A5195" s="113" t="s">
        <v>9500</v>
      </c>
      <c r="B5195" s="112" t="s">
        <v>11323</v>
      </c>
    </row>
    <row r="5196" spans="1:2" ht="15">
      <c r="A5196" s="113" t="s">
        <v>9501</v>
      </c>
      <c r="B5196" s="112" t="s">
        <v>11323</v>
      </c>
    </row>
    <row r="5197" spans="1:2" ht="15">
      <c r="A5197" s="113" t="s">
        <v>9502</v>
      </c>
      <c r="B5197" s="112" t="s">
        <v>11323</v>
      </c>
    </row>
    <row r="5198" spans="1:2" ht="15">
      <c r="A5198" s="113" t="s">
        <v>9503</v>
      </c>
      <c r="B5198" s="112" t="s">
        <v>11323</v>
      </c>
    </row>
    <row r="5199" spans="1:2" ht="15">
      <c r="A5199" s="113" t="s">
        <v>9504</v>
      </c>
      <c r="B5199" s="112" t="s">
        <v>11323</v>
      </c>
    </row>
    <row r="5200" spans="1:2" ht="15">
      <c r="A5200" s="113" t="s">
        <v>9505</v>
      </c>
      <c r="B5200" s="112" t="s">
        <v>11323</v>
      </c>
    </row>
    <row r="5201" spans="1:2" ht="15">
      <c r="A5201" s="113" t="s">
        <v>9506</v>
      </c>
      <c r="B5201" s="112" t="s">
        <v>11323</v>
      </c>
    </row>
    <row r="5202" spans="1:2" ht="15">
      <c r="A5202" s="113" t="s">
        <v>9507</v>
      </c>
      <c r="B5202" s="112" t="s">
        <v>11323</v>
      </c>
    </row>
    <row r="5203" spans="1:2" ht="15">
      <c r="A5203" s="113" t="s">
        <v>9508</v>
      </c>
      <c r="B5203" s="112" t="s">
        <v>11323</v>
      </c>
    </row>
    <row r="5204" spans="1:2" ht="15">
      <c r="A5204" s="113" t="s">
        <v>9509</v>
      </c>
      <c r="B5204" s="112" t="s">
        <v>11323</v>
      </c>
    </row>
    <row r="5205" spans="1:2" ht="15">
      <c r="A5205" s="113" t="s">
        <v>9510</v>
      </c>
      <c r="B5205" s="112" t="s">
        <v>11323</v>
      </c>
    </row>
    <row r="5206" spans="1:2" ht="15">
      <c r="A5206" s="113" t="s">
        <v>9511</v>
      </c>
      <c r="B5206" s="112" t="s">
        <v>11323</v>
      </c>
    </row>
    <row r="5207" spans="1:2" ht="15">
      <c r="A5207" s="113" t="s">
        <v>9512</v>
      </c>
      <c r="B5207" s="112" t="s">
        <v>11323</v>
      </c>
    </row>
    <row r="5208" spans="1:2" ht="15">
      <c r="A5208" s="113" t="s">
        <v>9513</v>
      </c>
      <c r="B5208" s="112" t="s">
        <v>11323</v>
      </c>
    </row>
    <row r="5209" spans="1:2" ht="15">
      <c r="A5209" s="113" t="s">
        <v>9514</v>
      </c>
      <c r="B5209" s="112" t="s">
        <v>11323</v>
      </c>
    </row>
    <row r="5210" spans="1:2" ht="15">
      <c r="A5210" s="113" t="s">
        <v>9515</v>
      </c>
      <c r="B5210" s="112" t="s">
        <v>11323</v>
      </c>
    </row>
    <row r="5211" spans="1:2" ht="15">
      <c r="A5211" s="113" t="s">
        <v>9516</v>
      </c>
      <c r="B5211" s="112" t="s">
        <v>11323</v>
      </c>
    </row>
    <row r="5212" spans="1:2" ht="15">
      <c r="A5212" s="113" t="s">
        <v>9517</v>
      </c>
      <c r="B5212" s="112" t="s">
        <v>11323</v>
      </c>
    </row>
    <row r="5213" spans="1:2" ht="15">
      <c r="A5213" s="113" t="s">
        <v>9518</v>
      </c>
      <c r="B5213" s="112" t="s">
        <v>11323</v>
      </c>
    </row>
    <row r="5214" spans="1:2" ht="15">
      <c r="A5214" s="113" t="s">
        <v>9519</v>
      </c>
      <c r="B5214" s="112" t="s">
        <v>11323</v>
      </c>
    </row>
    <row r="5215" spans="1:2" ht="15">
      <c r="A5215" s="113" t="s">
        <v>9520</v>
      </c>
      <c r="B5215" s="112" t="s">
        <v>11323</v>
      </c>
    </row>
    <row r="5216" spans="1:2" ht="15">
      <c r="A5216" s="113" t="s">
        <v>9521</v>
      </c>
      <c r="B5216" s="112" t="s">
        <v>11323</v>
      </c>
    </row>
    <row r="5217" spans="1:2" ht="15">
      <c r="A5217" s="113" t="s">
        <v>9522</v>
      </c>
      <c r="B5217" s="112" t="s">
        <v>11323</v>
      </c>
    </row>
    <row r="5218" spans="1:2" ht="15">
      <c r="A5218" s="113" t="s">
        <v>9523</v>
      </c>
      <c r="B5218" s="112" t="s">
        <v>11323</v>
      </c>
    </row>
    <row r="5219" spans="1:2" ht="15">
      <c r="A5219" s="113" t="s">
        <v>9524</v>
      </c>
      <c r="B5219" s="112" t="s">
        <v>11323</v>
      </c>
    </row>
    <row r="5220" spans="1:2" ht="15">
      <c r="A5220" s="113" t="s">
        <v>9525</v>
      </c>
      <c r="B5220" s="112" t="s">
        <v>11323</v>
      </c>
    </row>
    <row r="5221" spans="1:2" ht="15">
      <c r="A5221" s="113" t="s">
        <v>9526</v>
      </c>
      <c r="B5221" s="112" t="s">
        <v>11323</v>
      </c>
    </row>
    <row r="5222" spans="1:2" ht="15">
      <c r="A5222" s="113" t="s">
        <v>9527</v>
      </c>
      <c r="B5222" s="112" t="s">
        <v>11323</v>
      </c>
    </row>
    <row r="5223" spans="1:2" ht="15">
      <c r="A5223" s="113" t="s">
        <v>9528</v>
      </c>
      <c r="B5223" s="112" t="s">
        <v>11323</v>
      </c>
    </row>
    <row r="5224" spans="1:2" ht="15">
      <c r="A5224" s="113" t="s">
        <v>9529</v>
      </c>
      <c r="B5224" s="112" t="s">
        <v>11323</v>
      </c>
    </row>
    <row r="5225" spans="1:2" ht="15">
      <c r="A5225" s="113" t="s">
        <v>9530</v>
      </c>
      <c r="B5225" s="112" t="s">
        <v>11323</v>
      </c>
    </row>
    <row r="5226" spans="1:2" ht="15">
      <c r="A5226" s="113" t="s">
        <v>9531</v>
      </c>
      <c r="B5226" s="112" t="s">
        <v>11323</v>
      </c>
    </row>
    <row r="5227" spans="1:2" ht="15">
      <c r="A5227" s="113" t="s">
        <v>9532</v>
      </c>
      <c r="B5227" s="112" t="s">
        <v>11323</v>
      </c>
    </row>
    <row r="5228" spans="1:2" ht="15">
      <c r="A5228" s="113" t="s">
        <v>9533</v>
      </c>
      <c r="B5228" s="112" t="s">
        <v>11323</v>
      </c>
    </row>
    <row r="5229" spans="1:2" ht="15">
      <c r="A5229" s="113" t="s">
        <v>9534</v>
      </c>
      <c r="B5229" s="112" t="s">
        <v>11323</v>
      </c>
    </row>
    <row r="5230" spans="1:2" ht="15">
      <c r="A5230" s="113" t="s">
        <v>9535</v>
      </c>
      <c r="B5230" s="112" t="s">
        <v>11323</v>
      </c>
    </row>
    <row r="5231" spans="1:2" ht="15">
      <c r="A5231" s="113" t="s">
        <v>9536</v>
      </c>
      <c r="B5231" s="112" t="s">
        <v>11323</v>
      </c>
    </row>
    <row r="5232" spans="1:2" ht="15">
      <c r="A5232" s="113" t="s">
        <v>9537</v>
      </c>
      <c r="B5232" s="112" t="s">
        <v>11323</v>
      </c>
    </row>
    <row r="5233" spans="1:2" ht="15">
      <c r="A5233" s="113" t="s">
        <v>9538</v>
      </c>
      <c r="B5233" s="112" t="s">
        <v>11323</v>
      </c>
    </row>
    <row r="5234" spans="1:2" ht="15">
      <c r="A5234" s="113" t="s">
        <v>9539</v>
      </c>
      <c r="B5234" s="112" t="s">
        <v>11323</v>
      </c>
    </row>
    <row r="5235" spans="1:2" ht="15">
      <c r="A5235" s="113" t="s">
        <v>9540</v>
      </c>
      <c r="B5235" s="112" t="s">
        <v>11323</v>
      </c>
    </row>
    <row r="5236" spans="1:2" ht="15">
      <c r="A5236" s="113" t="s">
        <v>9541</v>
      </c>
      <c r="B5236" s="112" t="s">
        <v>11323</v>
      </c>
    </row>
    <row r="5237" spans="1:2" ht="15">
      <c r="A5237" s="113" t="s">
        <v>9542</v>
      </c>
      <c r="B5237" s="112" t="s">
        <v>11323</v>
      </c>
    </row>
    <row r="5238" spans="1:2" ht="15">
      <c r="A5238" s="113" t="s">
        <v>9543</v>
      </c>
      <c r="B5238" s="112" t="s">
        <v>11323</v>
      </c>
    </row>
    <row r="5239" spans="1:2" ht="15">
      <c r="A5239" s="113" t="s">
        <v>9544</v>
      </c>
      <c r="B5239" s="112" t="s">
        <v>11323</v>
      </c>
    </row>
    <row r="5240" spans="1:2" ht="15">
      <c r="A5240" s="113" t="s">
        <v>9545</v>
      </c>
      <c r="B5240" s="112" t="s">
        <v>11323</v>
      </c>
    </row>
    <row r="5241" spans="1:2" ht="15">
      <c r="A5241" s="113" t="s">
        <v>9546</v>
      </c>
      <c r="B5241" s="112" t="s">
        <v>11323</v>
      </c>
    </row>
    <row r="5242" spans="1:2" ht="15">
      <c r="A5242" s="113" t="s">
        <v>9547</v>
      </c>
      <c r="B5242" s="112" t="s">
        <v>11323</v>
      </c>
    </row>
    <row r="5243" spans="1:2" ht="15">
      <c r="A5243" s="113" t="s">
        <v>9548</v>
      </c>
      <c r="B5243" s="112" t="s">
        <v>11323</v>
      </c>
    </row>
    <row r="5244" spans="1:2" ht="15">
      <c r="A5244" s="113" t="s">
        <v>9549</v>
      </c>
      <c r="B5244" s="112" t="s">
        <v>11323</v>
      </c>
    </row>
    <row r="5245" spans="1:2" ht="15">
      <c r="A5245" s="113" t="s">
        <v>9550</v>
      </c>
      <c r="B5245" s="112" t="s">
        <v>11323</v>
      </c>
    </row>
    <row r="5246" spans="1:2" ht="15">
      <c r="A5246" s="113" t="s">
        <v>9551</v>
      </c>
      <c r="B5246" s="112" t="s">
        <v>11323</v>
      </c>
    </row>
    <row r="5247" spans="1:2" ht="15">
      <c r="A5247" s="113" t="s">
        <v>9552</v>
      </c>
      <c r="B5247" s="112" t="s">
        <v>11323</v>
      </c>
    </row>
    <row r="5248" spans="1:2" ht="15">
      <c r="A5248" s="113" t="s">
        <v>9553</v>
      </c>
      <c r="B5248" s="112" t="s">
        <v>11323</v>
      </c>
    </row>
    <row r="5249" spans="1:2" ht="15">
      <c r="A5249" s="113" t="s">
        <v>9554</v>
      </c>
      <c r="B5249" s="112" t="s">
        <v>11323</v>
      </c>
    </row>
    <row r="5250" spans="1:2" ht="15">
      <c r="A5250" s="113" t="s">
        <v>9555</v>
      </c>
      <c r="B5250" s="112" t="s">
        <v>11323</v>
      </c>
    </row>
    <row r="5251" spans="1:2" ht="15">
      <c r="A5251" s="113" t="s">
        <v>9556</v>
      </c>
      <c r="B5251" s="112" t="s">
        <v>11323</v>
      </c>
    </row>
    <row r="5252" spans="1:2" ht="15">
      <c r="A5252" s="113" t="s">
        <v>9557</v>
      </c>
      <c r="B5252" s="112" t="s">
        <v>11323</v>
      </c>
    </row>
    <row r="5253" spans="1:2" ht="15">
      <c r="A5253" s="113" t="s">
        <v>9558</v>
      </c>
      <c r="B5253" s="112" t="s">
        <v>11323</v>
      </c>
    </row>
    <row r="5254" spans="1:2" ht="15">
      <c r="A5254" s="113" t="s">
        <v>9559</v>
      </c>
      <c r="B5254" s="112" t="s">
        <v>11323</v>
      </c>
    </row>
    <row r="5255" spans="1:2" ht="15">
      <c r="A5255" s="113" t="s">
        <v>9560</v>
      </c>
      <c r="B5255" s="112" t="s">
        <v>11323</v>
      </c>
    </row>
    <row r="5256" spans="1:2" ht="15">
      <c r="A5256" s="113" t="s">
        <v>9561</v>
      </c>
      <c r="B5256" s="112" t="s">
        <v>11323</v>
      </c>
    </row>
    <row r="5257" spans="1:2" ht="15">
      <c r="A5257" s="113" t="s">
        <v>9562</v>
      </c>
      <c r="B5257" s="112" t="s">
        <v>11323</v>
      </c>
    </row>
    <row r="5258" spans="1:2" ht="15">
      <c r="A5258" s="113" t="s">
        <v>9563</v>
      </c>
      <c r="B5258" s="112" t="s">
        <v>11323</v>
      </c>
    </row>
    <row r="5259" spans="1:2" ht="15">
      <c r="A5259" s="113" t="s">
        <v>9564</v>
      </c>
      <c r="B5259" s="112" t="s">
        <v>11323</v>
      </c>
    </row>
    <row r="5260" spans="1:2" ht="15">
      <c r="A5260" s="113" t="s">
        <v>9565</v>
      </c>
      <c r="B5260" s="112" t="s">
        <v>11323</v>
      </c>
    </row>
    <row r="5261" spans="1:2" ht="15">
      <c r="A5261" s="113" t="s">
        <v>9566</v>
      </c>
      <c r="B5261" s="112" t="s">
        <v>11323</v>
      </c>
    </row>
    <row r="5262" spans="1:2" ht="15">
      <c r="A5262" s="113" t="s">
        <v>9567</v>
      </c>
      <c r="B5262" s="112" t="s">
        <v>11323</v>
      </c>
    </row>
    <row r="5263" spans="1:2" ht="15">
      <c r="A5263" s="113" t="s">
        <v>9568</v>
      </c>
      <c r="B5263" s="112" t="s">
        <v>11323</v>
      </c>
    </row>
    <row r="5264" spans="1:2" ht="15">
      <c r="A5264" s="113" t="s">
        <v>9569</v>
      </c>
      <c r="B5264" s="112" t="s">
        <v>11323</v>
      </c>
    </row>
    <row r="5265" spans="1:2" ht="15">
      <c r="A5265" s="113" t="s">
        <v>9570</v>
      </c>
      <c r="B5265" s="112" t="s">
        <v>11323</v>
      </c>
    </row>
    <row r="5266" spans="1:2" ht="15">
      <c r="A5266" s="113" t="s">
        <v>9571</v>
      </c>
      <c r="B5266" s="112" t="s">
        <v>11323</v>
      </c>
    </row>
    <row r="5267" spans="1:2" ht="15">
      <c r="A5267" s="113" t="s">
        <v>9572</v>
      </c>
      <c r="B5267" s="112" t="s">
        <v>11323</v>
      </c>
    </row>
    <row r="5268" spans="1:2" ht="15">
      <c r="A5268" s="113" t="s">
        <v>9573</v>
      </c>
      <c r="B5268" s="112" t="s">
        <v>11323</v>
      </c>
    </row>
    <row r="5269" spans="1:2" ht="15">
      <c r="A5269" s="113" t="s">
        <v>9574</v>
      </c>
      <c r="B5269" s="112" t="s">
        <v>11323</v>
      </c>
    </row>
    <row r="5270" spans="1:2" ht="15">
      <c r="A5270" s="113" t="s">
        <v>9575</v>
      </c>
      <c r="B5270" s="112" t="s">
        <v>11323</v>
      </c>
    </row>
    <row r="5271" spans="1:2" ht="15">
      <c r="A5271" s="113" t="s">
        <v>9576</v>
      </c>
      <c r="B5271" s="112" t="s">
        <v>11323</v>
      </c>
    </row>
    <row r="5272" spans="1:2" ht="15">
      <c r="A5272" s="113" t="s">
        <v>9577</v>
      </c>
      <c r="B5272" s="112" t="s">
        <v>11323</v>
      </c>
    </row>
    <row r="5273" spans="1:2" ht="15">
      <c r="A5273" s="113" t="s">
        <v>9578</v>
      </c>
      <c r="B5273" s="112" t="s">
        <v>11323</v>
      </c>
    </row>
    <row r="5274" spans="1:2" ht="15">
      <c r="A5274" s="113" t="s">
        <v>9579</v>
      </c>
      <c r="B5274" s="112" t="s">
        <v>11323</v>
      </c>
    </row>
    <row r="5275" spans="1:2" ht="15">
      <c r="A5275" s="113" t="s">
        <v>9580</v>
      </c>
      <c r="B5275" s="112" t="s">
        <v>11323</v>
      </c>
    </row>
    <row r="5276" spans="1:2" ht="15">
      <c r="A5276" s="113" t="s">
        <v>9581</v>
      </c>
      <c r="B5276" s="112" t="s">
        <v>11323</v>
      </c>
    </row>
    <row r="5277" spans="1:2" ht="15">
      <c r="A5277" s="113" t="s">
        <v>9582</v>
      </c>
      <c r="B5277" s="112" t="s">
        <v>11323</v>
      </c>
    </row>
    <row r="5278" spans="1:2" ht="15">
      <c r="A5278" s="113" t="s">
        <v>9583</v>
      </c>
      <c r="B5278" s="112" t="s">
        <v>11323</v>
      </c>
    </row>
    <row r="5279" spans="1:2" ht="15">
      <c r="A5279" s="113" t="s">
        <v>9584</v>
      </c>
      <c r="B5279" s="112" t="s">
        <v>11323</v>
      </c>
    </row>
    <row r="5280" spans="1:2" ht="15">
      <c r="A5280" s="113" t="s">
        <v>9585</v>
      </c>
      <c r="B5280" s="112" t="s">
        <v>11323</v>
      </c>
    </row>
    <row r="5281" spans="1:2" ht="15">
      <c r="A5281" s="113" t="s">
        <v>9586</v>
      </c>
      <c r="B5281" s="112" t="s">
        <v>11323</v>
      </c>
    </row>
    <row r="5282" spans="1:2" ht="15">
      <c r="A5282" s="113" t="s">
        <v>9587</v>
      </c>
      <c r="B5282" s="112" t="s">
        <v>11323</v>
      </c>
    </row>
    <row r="5283" spans="1:2" ht="15">
      <c r="A5283" s="113" t="s">
        <v>9588</v>
      </c>
      <c r="B5283" s="112" t="s">
        <v>11323</v>
      </c>
    </row>
    <row r="5284" spans="1:2" ht="15">
      <c r="A5284" s="113" t="s">
        <v>9589</v>
      </c>
      <c r="B5284" s="112" t="s">
        <v>11323</v>
      </c>
    </row>
    <row r="5285" spans="1:2" ht="15">
      <c r="A5285" s="113" t="s">
        <v>9590</v>
      </c>
      <c r="B5285" s="112" t="s">
        <v>11323</v>
      </c>
    </row>
    <row r="5286" spans="1:2" ht="15">
      <c r="A5286" s="113" t="s">
        <v>9591</v>
      </c>
      <c r="B5286" s="112" t="s">
        <v>11323</v>
      </c>
    </row>
    <row r="5287" spans="1:2" ht="15">
      <c r="A5287" s="113" t="s">
        <v>9592</v>
      </c>
      <c r="B5287" s="112" t="s">
        <v>11323</v>
      </c>
    </row>
    <row r="5288" spans="1:2" ht="15">
      <c r="A5288" s="113" t="s">
        <v>9593</v>
      </c>
      <c r="B5288" s="112" t="s">
        <v>11323</v>
      </c>
    </row>
    <row r="5289" spans="1:2" ht="15">
      <c r="A5289" s="113" t="s">
        <v>9594</v>
      </c>
      <c r="B5289" s="112" t="s">
        <v>11323</v>
      </c>
    </row>
    <row r="5290" spans="1:2" ht="15">
      <c r="A5290" s="113" t="s">
        <v>9595</v>
      </c>
      <c r="B5290" s="112" t="s">
        <v>11323</v>
      </c>
    </row>
    <row r="5291" spans="1:2" ht="15">
      <c r="A5291" s="113" t="s">
        <v>9596</v>
      </c>
      <c r="B5291" s="112" t="s">
        <v>11323</v>
      </c>
    </row>
    <row r="5292" spans="1:2" ht="15">
      <c r="A5292" s="113" t="s">
        <v>9597</v>
      </c>
      <c r="B5292" s="112" t="s">
        <v>11323</v>
      </c>
    </row>
    <row r="5293" spans="1:2" ht="15">
      <c r="A5293" s="113" t="s">
        <v>9598</v>
      </c>
      <c r="B5293" s="112" t="s">
        <v>11323</v>
      </c>
    </row>
    <row r="5294" spans="1:2" ht="15">
      <c r="A5294" s="113" t="s">
        <v>9599</v>
      </c>
      <c r="B5294" s="112" t="s">
        <v>11323</v>
      </c>
    </row>
    <row r="5295" spans="1:2" ht="15">
      <c r="A5295" s="113" t="s">
        <v>9600</v>
      </c>
      <c r="B5295" s="112" t="s">
        <v>11323</v>
      </c>
    </row>
    <row r="5296" spans="1:2" ht="15">
      <c r="A5296" s="113" t="s">
        <v>9601</v>
      </c>
      <c r="B5296" s="112" t="s">
        <v>11323</v>
      </c>
    </row>
    <row r="5297" spans="1:2" ht="15">
      <c r="A5297" s="113" t="s">
        <v>9602</v>
      </c>
      <c r="B5297" s="112" t="s">
        <v>11323</v>
      </c>
    </row>
    <row r="5298" spans="1:2" ht="15">
      <c r="A5298" s="113" t="s">
        <v>9603</v>
      </c>
      <c r="B5298" s="112" t="s">
        <v>11323</v>
      </c>
    </row>
    <row r="5299" spans="1:2" ht="15">
      <c r="A5299" s="113" t="s">
        <v>9604</v>
      </c>
      <c r="B5299" s="112" t="s">
        <v>11323</v>
      </c>
    </row>
    <row r="5300" spans="1:2" ht="15">
      <c r="A5300" s="113" t="s">
        <v>9605</v>
      </c>
      <c r="B5300" s="112" t="s">
        <v>11323</v>
      </c>
    </row>
    <row r="5301" spans="1:2" ht="15">
      <c r="A5301" s="113" t="s">
        <v>9606</v>
      </c>
      <c r="B5301" s="112" t="s">
        <v>11323</v>
      </c>
    </row>
    <row r="5302" spans="1:2" ht="15">
      <c r="A5302" s="113" t="s">
        <v>9607</v>
      </c>
      <c r="B5302" s="112" t="s">
        <v>11323</v>
      </c>
    </row>
    <row r="5303" spans="1:2" ht="15">
      <c r="A5303" s="113" t="s">
        <v>9608</v>
      </c>
      <c r="B5303" s="112" t="s">
        <v>11323</v>
      </c>
    </row>
    <row r="5304" spans="1:2" ht="15">
      <c r="A5304" s="113" t="s">
        <v>9609</v>
      </c>
      <c r="B5304" s="112" t="s">
        <v>11323</v>
      </c>
    </row>
    <row r="5305" spans="1:2" ht="15">
      <c r="A5305" s="113" t="s">
        <v>9610</v>
      </c>
      <c r="B5305" s="112" t="s">
        <v>11323</v>
      </c>
    </row>
    <row r="5306" spans="1:2" ht="15">
      <c r="A5306" s="113" t="s">
        <v>9611</v>
      </c>
      <c r="B5306" s="112" t="s">
        <v>11323</v>
      </c>
    </row>
    <row r="5307" spans="1:2" ht="15">
      <c r="A5307" s="113" t="s">
        <v>9612</v>
      </c>
      <c r="B5307" s="112" t="s">
        <v>11323</v>
      </c>
    </row>
    <row r="5308" spans="1:2" ht="15">
      <c r="A5308" s="113" t="s">
        <v>9613</v>
      </c>
      <c r="B5308" s="112" t="s">
        <v>11323</v>
      </c>
    </row>
    <row r="5309" spans="1:2" ht="15">
      <c r="A5309" s="113" t="s">
        <v>9614</v>
      </c>
      <c r="B5309" s="112" t="s">
        <v>11323</v>
      </c>
    </row>
    <row r="5310" spans="1:2" ht="15">
      <c r="A5310" s="113" t="s">
        <v>9615</v>
      </c>
      <c r="B5310" s="112" t="s">
        <v>11323</v>
      </c>
    </row>
    <row r="5311" spans="1:2" ht="15">
      <c r="A5311" s="113" t="s">
        <v>9616</v>
      </c>
      <c r="B5311" s="112" t="s">
        <v>11323</v>
      </c>
    </row>
    <row r="5312" spans="1:2" ht="15">
      <c r="A5312" s="113" t="s">
        <v>9617</v>
      </c>
      <c r="B5312" s="112" t="s">
        <v>11323</v>
      </c>
    </row>
    <row r="5313" spans="1:2" ht="15">
      <c r="A5313" s="113" t="s">
        <v>9618</v>
      </c>
      <c r="B5313" s="112" t="s">
        <v>11323</v>
      </c>
    </row>
    <row r="5314" spans="1:2" ht="15">
      <c r="A5314" s="113" t="s">
        <v>9619</v>
      </c>
      <c r="B5314" s="112" t="s">
        <v>11323</v>
      </c>
    </row>
    <row r="5315" spans="1:2" ht="15">
      <c r="A5315" s="113" t="s">
        <v>9620</v>
      </c>
      <c r="B5315" s="112" t="s">
        <v>11323</v>
      </c>
    </row>
    <row r="5316" spans="1:2" ht="15">
      <c r="A5316" s="113" t="s">
        <v>9621</v>
      </c>
      <c r="B5316" s="112" t="s">
        <v>11323</v>
      </c>
    </row>
    <row r="5317" spans="1:2" ht="15">
      <c r="A5317" s="113" t="s">
        <v>9622</v>
      </c>
      <c r="B5317" s="112" t="s">
        <v>11323</v>
      </c>
    </row>
    <row r="5318" spans="1:2" ht="15">
      <c r="A5318" s="113" t="s">
        <v>9623</v>
      </c>
      <c r="B5318" s="112" t="s">
        <v>11323</v>
      </c>
    </row>
    <row r="5319" spans="1:2" ht="15">
      <c r="A5319" s="113" t="s">
        <v>9624</v>
      </c>
      <c r="B5319" s="112" t="s">
        <v>11323</v>
      </c>
    </row>
    <row r="5320" spans="1:2" ht="15">
      <c r="A5320" s="113" t="s">
        <v>9625</v>
      </c>
      <c r="B5320" s="112" t="s">
        <v>11323</v>
      </c>
    </row>
    <row r="5321" spans="1:2" ht="15">
      <c r="A5321" s="113" t="s">
        <v>9626</v>
      </c>
      <c r="B5321" s="112" t="s">
        <v>11323</v>
      </c>
    </row>
    <row r="5322" spans="1:2" ht="15">
      <c r="A5322" s="113" t="s">
        <v>9627</v>
      </c>
      <c r="B5322" s="112" t="s">
        <v>11323</v>
      </c>
    </row>
    <row r="5323" spans="1:2" ht="15">
      <c r="A5323" s="113" t="s">
        <v>9628</v>
      </c>
      <c r="B5323" s="112" t="s">
        <v>11323</v>
      </c>
    </row>
    <row r="5324" spans="1:2" ht="15">
      <c r="A5324" s="113" t="s">
        <v>9629</v>
      </c>
      <c r="B5324" s="112" t="s">
        <v>11323</v>
      </c>
    </row>
    <row r="5325" spans="1:2" ht="15">
      <c r="A5325" s="113" t="s">
        <v>9630</v>
      </c>
      <c r="B5325" s="112" t="s">
        <v>11323</v>
      </c>
    </row>
    <row r="5326" spans="1:2" ht="15">
      <c r="A5326" s="113" t="s">
        <v>9631</v>
      </c>
      <c r="B5326" s="112" t="s">
        <v>11323</v>
      </c>
    </row>
    <row r="5327" spans="1:2" ht="15">
      <c r="A5327" s="113" t="s">
        <v>9632</v>
      </c>
      <c r="B5327" s="112" t="s">
        <v>11323</v>
      </c>
    </row>
    <row r="5328" spans="1:2" ht="15">
      <c r="A5328" s="113" t="s">
        <v>9633</v>
      </c>
      <c r="B5328" s="112" t="s">
        <v>11323</v>
      </c>
    </row>
    <row r="5329" spans="1:2" ht="15">
      <c r="A5329" s="113" t="s">
        <v>9634</v>
      </c>
      <c r="B5329" s="112" t="s">
        <v>11323</v>
      </c>
    </row>
    <row r="5330" spans="1:2" ht="15">
      <c r="A5330" s="113" t="s">
        <v>9635</v>
      </c>
      <c r="B5330" s="112" t="s">
        <v>11323</v>
      </c>
    </row>
    <row r="5331" spans="1:2" ht="15">
      <c r="A5331" s="113" t="s">
        <v>9636</v>
      </c>
      <c r="B5331" s="112" t="s">
        <v>11323</v>
      </c>
    </row>
    <row r="5332" spans="1:2" ht="15">
      <c r="A5332" s="113" t="s">
        <v>9637</v>
      </c>
      <c r="B5332" s="112" t="s">
        <v>11323</v>
      </c>
    </row>
    <row r="5333" spans="1:2" ht="15">
      <c r="A5333" s="113" t="s">
        <v>9638</v>
      </c>
      <c r="B5333" s="112" t="s">
        <v>11323</v>
      </c>
    </row>
    <row r="5334" spans="1:2" ht="15">
      <c r="A5334" s="113" t="s">
        <v>9639</v>
      </c>
      <c r="B5334" s="112" t="s">
        <v>11323</v>
      </c>
    </row>
    <row r="5335" spans="1:2" ht="15">
      <c r="A5335" s="113" t="s">
        <v>9640</v>
      </c>
      <c r="B5335" s="112" t="s">
        <v>11323</v>
      </c>
    </row>
    <row r="5336" spans="1:2" ht="15">
      <c r="A5336" s="113" t="s">
        <v>9641</v>
      </c>
      <c r="B5336" s="112" t="s">
        <v>11323</v>
      </c>
    </row>
    <row r="5337" spans="1:2" ht="15">
      <c r="A5337" s="113" t="s">
        <v>9642</v>
      </c>
      <c r="B5337" s="112" t="s">
        <v>11323</v>
      </c>
    </row>
    <row r="5338" spans="1:2" ht="15">
      <c r="A5338" s="113" t="s">
        <v>9643</v>
      </c>
      <c r="B5338" s="112" t="s">
        <v>11323</v>
      </c>
    </row>
    <row r="5339" spans="1:2" ht="15">
      <c r="A5339" s="113" t="s">
        <v>9644</v>
      </c>
      <c r="B5339" s="112" t="s">
        <v>11323</v>
      </c>
    </row>
    <row r="5340" spans="1:2" ht="15">
      <c r="A5340" s="113" t="s">
        <v>9645</v>
      </c>
      <c r="B5340" s="112" t="s">
        <v>11323</v>
      </c>
    </row>
    <row r="5341" spans="1:2" ht="15">
      <c r="A5341" s="113" t="s">
        <v>9646</v>
      </c>
      <c r="B5341" s="112" t="s">
        <v>11323</v>
      </c>
    </row>
    <row r="5342" spans="1:2" ht="15">
      <c r="A5342" s="113" t="s">
        <v>9647</v>
      </c>
      <c r="B5342" s="112" t="s">
        <v>11323</v>
      </c>
    </row>
    <row r="5343" spans="1:2" ht="15">
      <c r="A5343" s="113" t="s">
        <v>9648</v>
      </c>
      <c r="B5343" s="112" t="s">
        <v>11323</v>
      </c>
    </row>
    <row r="5344" spans="1:2" ht="15">
      <c r="A5344" s="113" t="s">
        <v>9649</v>
      </c>
      <c r="B5344" s="112" t="s">
        <v>11323</v>
      </c>
    </row>
    <row r="5345" spans="1:2" ht="15">
      <c r="A5345" s="113" t="s">
        <v>9650</v>
      </c>
      <c r="B5345" s="112" t="s">
        <v>11323</v>
      </c>
    </row>
    <row r="5346" spans="1:2" ht="15">
      <c r="A5346" s="113" t="s">
        <v>9651</v>
      </c>
      <c r="B5346" s="112" t="s">
        <v>11323</v>
      </c>
    </row>
    <row r="5347" spans="1:2" ht="15">
      <c r="A5347" s="113" t="s">
        <v>9652</v>
      </c>
      <c r="B5347" s="112" t="s">
        <v>11323</v>
      </c>
    </row>
    <row r="5348" spans="1:2" ht="15">
      <c r="A5348" s="113" t="s">
        <v>9653</v>
      </c>
      <c r="B5348" s="112" t="s">
        <v>11323</v>
      </c>
    </row>
    <row r="5349" spans="1:2" ht="15">
      <c r="A5349" s="113" t="s">
        <v>9654</v>
      </c>
      <c r="B5349" s="112" t="s">
        <v>11323</v>
      </c>
    </row>
    <row r="5350" spans="1:2" ht="15">
      <c r="A5350" s="113" t="s">
        <v>9655</v>
      </c>
      <c r="B5350" s="112" t="s">
        <v>11323</v>
      </c>
    </row>
    <row r="5351" spans="1:2" ht="15">
      <c r="A5351" s="113" t="s">
        <v>9656</v>
      </c>
      <c r="B5351" s="112" t="s">
        <v>11323</v>
      </c>
    </row>
    <row r="5352" spans="1:2" ht="15">
      <c r="A5352" s="113" t="s">
        <v>9657</v>
      </c>
      <c r="B5352" s="112" t="s">
        <v>11323</v>
      </c>
    </row>
    <row r="5353" spans="1:2" ht="15">
      <c r="A5353" s="113" t="s">
        <v>9658</v>
      </c>
      <c r="B5353" s="112" t="s">
        <v>11323</v>
      </c>
    </row>
    <row r="5354" spans="1:2" ht="15">
      <c r="A5354" s="113" t="s">
        <v>9659</v>
      </c>
      <c r="B5354" s="112" t="s">
        <v>11323</v>
      </c>
    </row>
    <row r="5355" spans="1:2" ht="15">
      <c r="A5355" s="113" t="s">
        <v>9660</v>
      </c>
      <c r="B5355" s="112" t="s">
        <v>11323</v>
      </c>
    </row>
    <row r="5356" spans="1:2" ht="15">
      <c r="A5356" s="113" t="s">
        <v>9661</v>
      </c>
      <c r="B5356" s="112" t="s">
        <v>11323</v>
      </c>
    </row>
    <row r="5357" spans="1:2" ht="15">
      <c r="A5357" s="113" t="s">
        <v>9662</v>
      </c>
      <c r="B5357" s="112" t="s">
        <v>11323</v>
      </c>
    </row>
    <row r="5358" spans="1:2" ht="15">
      <c r="A5358" s="113" t="s">
        <v>9663</v>
      </c>
      <c r="B5358" s="112" t="s">
        <v>11323</v>
      </c>
    </row>
    <row r="5359" spans="1:2" ht="15">
      <c r="A5359" s="113" t="s">
        <v>9664</v>
      </c>
      <c r="B5359" s="112" t="s">
        <v>11323</v>
      </c>
    </row>
    <row r="5360" spans="1:2" ht="15">
      <c r="A5360" s="113" t="s">
        <v>9665</v>
      </c>
      <c r="B5360" s="112" t="s">
        <v>11323</v>
      </c>
    </row>
    <row r="5361" spans="1:2" ht="15">
      <c r="A5361" s="113" t="s">
        <v>9666</v>
      </c>
      <c r="B5361" s="112" t="s">
        <v>11323</v>
      </c>
    </row>
    <row r="5362" spans="1:2" ht="15">
      <c r="A5362" s="113" t="s">
        <v>9667</v>
      </c>
      <c r="B5362" s="112" t="s">
        <v>11323</v>
      </c>
    </row>
    <row r="5363" spans="1:2" ht="15">
      <c r="A5363" s="113" t="s">
        <v>9668</v>
      </c>
      <c r="B5363" s="112" t="s">
        <v>11323</v>
      </c>
    </row>
    <row r="5364" spans="1:2" ht="15">
      <c r="A5364" s="113" t="s">
        <v>9669</v>
      </c>
      <c r="B5364" s="112" t="s">
        <v>11323</v>
      </c>
    </row>
    <row r="5365" spans="1:2" ht="15">
      <c r="A5365" s="113" t="s">
        <v>9670</v>
      </c>
      <c r="B5365" s="112" t="s">
        <v>11323</v>
      </c>
    </row>
    <row r="5366" spans="1:2" ht="15">
      <c r="A5366" s="113" t="s">
        <v>9671</v>
      </c>
      <c r="B5366" s="112" t="s">
        <v>11323</v>
      </c>
    </row>
    <row r="5367" spans="1:2" ht="15">
      <c r="A5367" s="113" t="s">
        <v>9672</v>
      </c>
      <c r="B5367" s="112" t="s">
        <v>11323</v>
      </c>
    </row>
    <row r="5368" spans="1:2" ht="15">
      <c r="A5368" s="113" t="s">
        <v>9673</v>
      </c>
      <c r="B5368" s="112" t="s">
        <v>11323</v>
      </c>
    </row>
    <row r="5369" spans="1:2" ht="15">
      <c r="A5369" s="113" t="s">
        <v>9674</v>
      </c>
      <c r="B5369" s="112" t="s">
        <v>11323</v>
      </c>
    </row>
    <row r="5370" spans="1:2" ht="15">
      <c r="A5370" s="113" t="s">
        <v>9675</v>
      </c>
      <c r="B5370" s="112" t="s">
        <v>11323</v>
      </c>
    </row>
    <row r="5371" spans="1:2" ht="15">
      <c r="A5371" s="113" t="s">
        <v>9676</v>
      </c>
      <c r="B5371" s="112" t="s">
        <v>11323</v>
      </c>
    </row>
    <row r="5372" spans="1:2" ht="15">
      <c r="A5372" s="113" t="s">
        <v>9677</v>
      </c>
      <c r="B5372" s="112" t="s">
        <v>11323</v>
      </c>
    </row>
    <row r="5373" spans="1:2" ht="15">
      <c r="A5373" s="113" t="s">
        <v>9678</v>
      </c>
      <c r="B5373" s="112" t="s">
        <v>11323</v>
      </c>
    </row>
    <row r="5374" spans="1:2" ht="15">
      <c r="A5374" s="113" t="s">
        <v>9679</v>
      </c>
      <c r="B5374" s="112" t="s">
        <v>11323</v>
      </c>
    </row>
    <row r="5375" spans="1:2" ht="15">
      <c r="A5375" s="113" t="s">
        <v>9680</v>
      </c>
      <c r="B5375" s="112" t="s">
        <v>11323</v>
      </c>
    </row>
    <row r="5376" spans="1:2" ht="15">
      <c r="A5376" s="113" t="s">
        <v>9681</v>
      </c>
      <c r="B5376" s="112" t="s">
        <v>11323</v>
      </c>
    </row>
    <row r="5377" spans="1:2" ht="15">
      <c r="A5377" s="113" t="s">
        <v>9682</v>
      </c>
      <c r="B5377" s="112" t="s">
        <v>11323</v>
      </c>
    </row>
    <row r="5378" spans="1:2" ht="15">
      <c r="A5378" s="113" t="s">
        <v>9683</v>
      </c>
      <c r="B5378" s="112" t="s">
        <v>11323</v>
      </c>
    </row>
    <row r="5379" spans="1:2" ht="15">
      <c r="A5379" s="113" t="s">
        <v>9684</v>
      </c>
      <c r="B5379" s="112" t="s">
        <v>11323</v>
      </c>
    </row>
    <row r="5380" spans="1:2" ht="15">
      <c r="A5380" s="113" t="s">
        <v>9685</v>
      </c>
      <c r="B5380" s="112" t="s">
        <v>11323</v>
      </c>
    </row>
    <row r="5381" spans="1:2" ht="15">
      <c r="A5381" s="113" t="s">
        <v>9686</v>
      </c>
      <c r="B5381" s="112" t="s">
        <v>11323</v>
      </c>
    </row>
    <row r="5382" spans="1:2" ht="15">
      <c r="A5382" s="113" t="s">
        <v>9687</v>
      </c>
      <c r="B5382" s="112" t="s">
        <v>11323</v>
      </c>
    </row>
    <row r="5383" spans="1:2" ht="15">
      <c r="A5383" s="113" t="s">
        <v>9688</v>
      </c>
      <c r="B5383" s="112" t="s">
        <v>11323</v>
      </c>
    </row>
    <row r="5384" spans="1:2" ht="15">
      <c r="A5384" s="113" t="s">
        <v>9689</v>
      </c>
      <c r="B5384" s="112" t="s">
        <v>11323</v>
      </c>
    </row>
    <row r="5385" spans="1:2" ht="15">
      <c r="A5385" s="113" t="s">
        <v>9690</v>
      </c>
      <c r="B5385" s="112" t="s">
        <v>11323</v>
      </c>
    </row>
    <row r="5386" spans="1:2" ht="15">
      <c r="A5386" s="113" t="s">
        <v>9691</v>
      </c>
      <c r="B5386" s="112" t="s">
        <v>11323</v>
      </c>
    </row>
    <row r="5387" spans="1:2" ht="15">
      <c r="A5387" s="113" t="s">
        <v>9692</v>
      </c>
      <c r="B5387" s="112" t="s">
        <v>11323</v>
      </c>
    </row>
    <row r="5388" spans="1:2" ht="15">
      <c r="A5388" s="113" t="s">
        <v>9693</v>
      </c>
      <c r="B5388" s="112" t="s">
        <v>11323</v>
      </c>
    </row>
    <row r="5389" spans="1:2" ht="15">
      <c r="A5389" s="113" t="s">
        <v>9694</v>
      </c>
      <c r="B5389" s="112" t="s">
        <v>11323</v>
      </c>
    </row>
    <row r="5390" spans="1:2" ht="15">
      <c r="A5390" s="113" t="s">
        <v>9695</v>
      </c>
      <c r="B5390" s="112" t="s">
        <v>11323</v>
      </c>
    </row>
    <row r="5391" spans="1:2" ht="15">
      <c r="A5391" s="113" t="s">
        <v>9696</v>
      </c>
      <c r="B5391" s="112" t="s">
        <v>11323</v>
      </c>
    </row>
    <row r="5392" spans="1:2" ht="15">
      <c r="A5392" s="113" t="s">
        <v>9697</v>
      </c>
      <c r="B5392" s="112" t="s">
        <v>11323</v>
      </c>
    </row>
    <row r="5393" spans="1:2" ht="15">
      <c r="A5393" s="113" t="s">
        <v>9698</v>
      </c>
      <c r="B5393" s="112" t="s">
        <v>11323</v>
      </c>
    </row>
    <row r="5394" spans="1:2" ht="15">
      <c r="A5394" s="113" t="s">
        <v>9699</v>
      </c>
      <c r="B5394" s="112" t="s">
        <v>11323</v>
      </c>
    </row>
    <row r="5395" spans="1:2" ht="15">
      <c r="A5395" s="113" t="s">
        <v>9700</v>
      </c>
      <c r="B5395" s="112" t="s">
        <v>11323</v>
      </c>
    </row>
    <row r="5396" spans="1:2" ht="15">
      <c r="A5396" s="113" t="s">
        <v>9701</v>
      </c>
      <c r="B5396" s="112" t="s">
        <v>11323</v>
      </c>
    </row>
    <row r="5397" spans="1:2" ht="15">
      <c r="A5397" s="113" t="s">
        <v>9702</v>
      </c>
      <c r="B5397" s="112" t="s">
        <v>11323</v>
      </c>
    </row>
    <row r="5398" spans="1:2" ht="15">
      <c r="A5398" s="113" t="s">
        <v>9703</v>
      </c>
      <c r="B5398" s="112" t="s">
        <v>11323</v>
      </c>
    </row>
    <row r="5399" spans="1:2" ht="15">
      <c r="A5399" s="113" t="s">
        <v>9704</v>
      </c>
      <c r="B5399" s="112" t="s">
        <v>11323</v>
      </c>
    </row>
    <row r="5400" spans="1:2" ht="15">
      <c r="A5400" s="113" t="s">
        <v>9705</v>
      </c>
      <c r="B5400" s="112" t="s">
        <v>11323</v>
      </c>
    </row>
    <row r="5401" spans="1:2" ht="15">
      <c r="A5401" s="113" t="s">
        <v>9706</v>
      </c>
      <c r="B5401" s="112" t="s">
        <v>11323</v>
      </c>
    </row>
    <row r="5402" spans="1:2" ht="15">
      <c r="A5402" s="113" t="s">
        <v>9707</v>
      </c>
      <c r="B5402" s="112" t="s">
        <v>11323</v>
      </c>
    </row>
    <row r="5403" spans="1:2" ht="15">
      <c r="A5403" s="113" t="s">
        <v>9708</v>
      </c>
      <c r="B5403" s="112" t="s">
        <v>11323</v>
      </c>
    </row>
    <row r="5404" spans="1:2" ht="15">
      <c r="A5404" s="113" t="s">
        <v>9709</v>
      </c>
      <c r="B5404" s="112" t="s">
        <v>11323</v>
      </c>
    </row>
    <row r="5405" spans="1:2" ht="15">
      <c r="A5405" s="113" t="s">
        <v>9710</v>
      </c>
      <c r="B5405" s="112" t="s">
        <v>11323</v>
      </c>
    </row>
    <row r="5406" spans="1:2" ht="15">
      <c r="A5406" s="113" t="s">
        <v>9711</v>
      </c>
      <c r="B5406" s="112" t="s">
        <v>11323</v>
      </c>
    </row>
    <row r="5407" spans="1:2" ht="15">
      <c r="A5407" s="113" t="s">
        <v>9712</v>
      </c>
      <c r="B5407" s="112" t="s">
        <v>11323</v>
      </c>
    </row>
    <row r="5408" spans="1:2" ht="15">
      <c r="A5408" s="113" t="s">
        <v>9713</v>
      </c>
      <c r="B5408" s="112" t="s">
        <v>11323</v>
      </c>
    </row>
    <row r="5409" spans="1:2" ht="15">
      <c r="A5409" s="113" t="s">
        <v>9714</v>
      </c>
      <c r="B5409" s="112" t="s">
        <v>11323</v>
      </c>
    </row>
    <row r="5410" spans="1:2" ht="15">
      <c r="A5410" s="113" t="s">
        <v>9715</v>
      </c>
      <c r="B5410" s="112" t="s">
        <v>11323</v>
      </c>
    </row>
    <row r="5411" spans="1:2" ht="15">
      <c r="A5411" s="113" t="s">
        <v>9716</v>
      </c>
      <c r="B5411" s="112" t="s">
        <v>11323</v>
      </c>
    </row>
    <row r="5412" spans="1:2" ht="15">
      <c r="A5412" s="113" t="s">
        <v>9717</v>
      </c>
      <c r="B5412" s="112" t="s">
        <v>11323</v>
      </c>
    </row>
    <row r="5413" spans="1:2" ht="15">
      <c r="A5413" s="113" t="s">
        <v>9718</v>
      </c>
      <c r="B5413" s="112" t="s">
        <v>11323</v>
      </c>
    </row>
    <row r="5414" spans="1:2" ht="15">
      <c r="A5414" s="113" t="s">
        <v>9719</v>
      </c>
      <c r="B5414" s="112" t="s">
        <v>11323</v>
      </c>
    </row>
    <row r="5415" spans="1:2" ht="15">
      <c r="A5415" s="113" t="s">
        <v>9720</v>
      </c>
      <c r="B5415" s="112" t="s">
        <v>11323</v>
      </c>
    </row>
    <row r="5416" spans="1:2" ht="15">
      <c r="A5416" s="113" t="s">
        <v>9721</v>
      </c>
      <c r="B5416" s="112" t="s">
        <v>11323</v>
      </c>
    </row>
    <row r="5417" spans="1:2" ht="15">
      <c r="A5417" s="113" t="s">
        <v>9722</v>
      </c>
      <c r="B5417" s="112" t="s">
        <v>11323</v>
      </c>
    </row>
    <row r="5418" spans="1:2" ht="15">
      <c r="A5418" s="113" t="s">
        <v>9723</v>
      </c>
      <c r="B5418" s="112" t="s">
        <v>11323</v>
      </c>
    </row>
    <row r="5419" spans="1:2" ht="15">
      <c r="A5419" s="113" t="s">
        <v>9724</v>
      </c>
      <c r="B5419" s="112" t="s">
        <v>11323</v>
      </c>
    </row>
    <row r="5420" spans="1:2" ht="15">
      <c r="A5420" s="113" t="s">
        <v>9725</v>
      </c>
      <c r="B5420" s="112" t="s">
        <v>11323</v>
      </c>
    </row>
    <row r="5421" spans="1:2" ht="15">
      <c r="A5421" s="113" t="s">
        <v>9726</v>
      </c>
      <c r="B5421" s="112" t="s">
        <v>11323</v>
      </c>
    </row>
    <row r="5422" spans="1:2" ht="15">
      <c r="A5422" s="113" t="s">
        <v>9727</v>
      </c>
      <c r="B5422" s="112" t="s">
        <v>11323</v>
      </c>
    </row>
    <row r="5423" spans="1:2" ht="15">
      <c r="A5423" s="113" t="s">
        <v>9728</v>
      </c>
      <c r="B5423" s="112" t="s">
        <v>11323</v>
      </c>
    </row>
    <row r="5424" spans="1:2" ht="15">
      <c r="A5424" s="113" t="s">
        <v>9729</v>
      </c>
      <c r="B5424" s="112" t="s">
        <v>11323</v>
      </c>
    </row>
    <row r="5425" spans="1:2" ht="15">
      <c r="A5425" s="113" t="s">
        <v>9730</v>
      </c>
      <c r="B5425" s="112" t="s">
        <v>11323</v>
      </c>
    </row>
    <row r="5426" spans="1:2" ht="15">
      <c r="A5426" s="113" t="s">
        <v>9731</v>
      </c>
      <c r="B5426" s="112" t="s">
        <v>11323</v>
      </c>
    </row>
    <row r="5427" spans="1:2" ht="15">
      <c r="A5427" s="113" t="s">
        <v>9732</v>
      </c>
      <c r="B5427" s="112" t="s">
        <v>11323</v>
      </c>
    </row>
    <row r="5428" spans="1:2" ht="15">
      <c r="A5428" s="113" t="s">
        <v>9733</v>
      </c>
      <c r="B5428" s="112" t="s">
        <v>11323</v>
      </c>
    </row>
    <row r="5429" spans="1:2" ht="15">
      <c r="A5429" s="113" t="s">
        <v>9734</v>
      </c>
      <c r="B5429" s="112" t="s">
        <v>11323</v>
      </c>
    </row>
    <row r="5430" spans="1:2" ht="15">
      <c r="A5430" s="113" t="s">
        <v>9735</v>
      </c>
      <c r="B5430" s="112" t="s">
        <v>11323</v>
      </c>
    </row>
    <row r="5431" spans="1:2" ht="15">
      <c r="A5431" s="113" t="s">
        <v>9736</v>
      </c>
      <c r="B5431" s="112" t="s">
        <v>11323</v>
      </c>
    </row>
    <row r="5432" spans="1:2" ht="15">
      <c r="A5432" s="113" t="s">
        <v>9737</v>
      </c>
      <c r="B5432" s="112" t="s">
        <v>11323</v>
      </c>
    </row>
    <row r="5433" spans="1:2" ht="15">
      <c r="A5433" s="113" t="s">
        <v>9738</v>
      </c>
      <c r="B5433" s="112" t="s">
        <v>11323</v>
      </c>
    </row>
    <row r="5434" spans="1:2" ht="15">
      <c r="A5434" s="113" t="s">
        <v>9739</v>
      </c>
      <c r="B5434" s="112" t="s">
        <v>11323</v>
      </c>
    </row>
    <row r="5435" spans="1:2" ht="15">
      <c r="A5435" s="113" t="s">
        <v>9740</v>
      </c>
      <c r="B5435" s="112" t="s">
        <v>11323</v>
      </c>
    </row>
    <row r="5436" spans="1:2" ht="15">
      <c r="A5436" s="113" t="s">
        <v>9741</v>
      </c>
      <c r="B5436" s="112" t="s">
        <v>11323</v>
      </c>
    </row>
    <row r="5437" spans="1:2" ht="15">
      <c r="A5437" s="113" t="s">
        <v>9742</v>
      </c>
      <c r="B5437" s="112" t="s">
        <v>11323</v>
      </c>
    </row>
    <row r="5438" spans="1:2" ht="15">
      <c r="A5438" s="113" t="s">
        <v>9743</v>
      </c>
      <c r="B5438" s="112" t="s">
        <v>11323</v>
      </c>
    </row>
    <row r="5439" spans="1:2" ht="15">
      <c r="A5439" s="113" t="s">
        <v>9744</v>
      </c>
      <c r="B5439" s="112" t="s">
        <v>11323</v>
      </c>
    </row>
    <row r="5440" spans="1:2" ht="15">
      <c r="A5440" s="113" t="s">
        <v>9745</v>
      </c>
      <c r="B5440" s="112" t="s">
        <v>11323</v>
      </c>
    </row>
    <row r="5441" spans="1:2" ht="15">
      <c r="A5441" s="113" t="s">
        <v>9746</v>
      </c>
      <c r="B5441" s="112" t="s">
        <v>11323</v>
      </c>
    </row>
    <row r="5442" spans="1:2" ht="15">
      <c r="A5442" s="113" t="s">
        <v>9747</v>
      </c>
      <c r="B5442" s="112" t="s">
        <v>11323</v>
      </c>
    </row>
    <row r="5443" spans="1:2" ht="15">
      <c r="A5443" s="113" t="s">
        <v>9748</v>
      </c>
      <c r="B5443" s="112" t="s">
        <v>11323</v>
      </c>
    </row>
    <row r="5444" spans="1:2" ht="15">
      <c r="A5444" s="113" t="s">
        <v>9749</v>
      </c>
      <c r="B5444" s="112" t="s">
        <v>11323</v>
      </c>
    </row>
    <row r="5445" spans="1:2" ht="15">
      <c r="A5445" s="113" t="s">
        <v>9750</v>
      </c>
      <c r="B5445" s="112" t="s">
        <v>11323</v>
      </c>
    </row>
    <row r="5446" spans="1:2" ht="15">
      <c r="A5446" s="113" t="s">
        <v>9751</v>
      </c>
      <c r="B5446" s="112" t="s">
        <v>11323</v>
      </c>
    </row>
    <row r="5447" spans="1:2" ht="15">
      <c r="A5447" s="113" t="s">
        <v>9752</v>
      </c>
      <c r="B5447" s="112" t="s">
        <v>11323</v>
      </c>
    </row>
    <row r="5448" spans="1:2" ht="15">
      <c r="A5448" s="113" t="s">
        <v>9753</v>
      </c>
      <c r="B5448" s="112" t="s">
        <v>11323</v>
      </c>
    </row>
    <row r="5449" spans="1:2" ht="15">
      <c r="A5449" s="113" t="s">
        <v>9754</v>
      </c>
      <c r="B5449" s="112" t="s">
        <v>11323</v>
      </c>
    </row>
    <row r="5450" spans="1:2" ht="15">
      <c r="A5450" s="113" t="s">
        <v>9755</v>
      </c>
      <c r="B5450" s="112" t="s">
        <v>11323</v>
      </c>
    </row>
    <row r="5451" spans="1:2" ht="15">
      <c r="A5451" s="113" t="s">
        <v>9756</v>
      </c>
      <c r="B5451" s="112" t="s">
        <v>11323</v>
      </c>
    </row>
    <row r="5452" spans="1:2" ht="15">
      <c r="A5452" s="113" t="s">
        <v>9757</v>
      </c>
      <c r="B5452" s="112" t="s">
        <v>11323</v>
      </c>
    </row>
    <row r="5453" spans="1:2" ht="15">
      <c r="A5453" s="113" t="s">
        <v>9758</v>
      </c>
      <c r="B5453" s="112" t="s">
        <v>11323</v>
      </c>
    </row>
    <row r="5454" spans="1:2" ht="15">
      <c r="A5454" s="113" t="s">
        <v>9759</v>
      </c>
      <c r="B5454" s="112" t="s">
        <v>11323</v>
      </c>
    </row>
    <row r="5455" spans="1:2" ht="15">
      <c r="A5455" s="113" t="s">
        <v>9760</v>
      </c>
      <c r="B5455" s="112" t="s">
        <v>11323</v>
      </c>
    </row>
    <row r="5456" spans="1:2" ht="15">
      <c r="A5456" s="113" t="s">
        <v>9761</v>
      </c>
      <c r="B5456" s="112" t="s">
        <v>11323</v>
      </c>
    </row>
    <row r="5457" spans="1:2" ht="15">
      <c r="A5457" s="113" t="s">
        <v>9762</v>
      </c>
      <c r="B5457" s="112" t="s">
        <v>11323</v>
      </c>
    </row>
    <row r="5458" spans="1:2" ht="15">
      <c r="A5458" s="113" t="s">
        <v>9763</v>
      </c>
      <c r="B5458" s="112" t="s">
        <v>11323</v>
      </c>
    </row>
    <row r="5459" spans="1:2" ht="15">
      <c r="A5459" s="113" t="s">
        <v>9764</v>
      </c>
      <c r="B5459" s="112" t="s">
        <v>11323</v>
      </c>
    </row>
    <row r="5460" spans="1:2" ht="15">
      <c r="A5460" s="113" t="s">
        <v>9765</v>
      </c>
      <c r="B5460" s="112" t="s">
        <v>11323</v>
      </c>
    </row>
    <row r="5461" spans="1:2" ht="15">
      <c r="A5461" s="113" t="s">
        <v>9766</v>
      </c>
      <c r="B5461" s="112" t="s">
        <v>11323</v>
      </c>
    </row>
    <row r="5462" spans="1:2" ht="15">
      <c r="A5462" s="113" t="s">
        <v>9767</v>
      </c>
      <c r="B5462" s="112" t="s">
        <v>11323</v>
      </c>
    </row>
    <row r="5463" spans="1:2" ht="15">
      <c r="A5463" s="113" t="s">
        <v>9768</v>
      </c>
      <c r="B5463" s="112" t="s">
        <v>11323</v>
      </c>
    </row>
    <row r="5464" spans="1:2" ht="15">
      <c r="A5464" s="113" t="s">
        <v>9769</v>
      </c>
      <c r="B5464" s="112" t="s">
        <v>11323</v>
      </c>
    </row>
    <row r="5465" spans="1:2" ht="15">
      <c r="A5465" s="113" t="s">
        <v>9770</v>
      </c>
      <c r="B5465" s="112" t="s">
        <v>11323</v>
      </c>
    </row>
    <row r="5466" spans="1:2" ht="15">
      <c r="A5466" s="113" t="s">
        <v>9771</v>
      </c>
      <c r="B5466" s="112" t="s">
        <v>11323</v>
      </c>
    </row>
    <row r="5467" spans="1:2" ht="15">
      <c r="A5467" s="113" t="s">
        <v>9772</v>
      </c>
      <c r="B5467" s="112" t="s">
        <v>11323</v>
      </c>
    </row>
    <row r="5468" spans="1:2" ht="15">
      <c r="A5468" s="113" t="s">
        <v>9773</v>
      </c>
      <c r="B5468" s="112" t="s">
        <v>11323</v>
      </c>
    </row>
    <row r="5469" spans="1:2" ht="15">
      <c r="A5469" s="113" t="s">
        <v>9774</v>
      </c>
      <c r="B5469" s="112" t="s">
        <v>11323</v>
      </c>
    </row>
    <row r="5470" spans="1:2" ht="15">
      <c r="A5470" s="113" t="s">
        <v>9775</v>
      </c>
      <c r="B5470" s="112" t="s">
        <v>11323</v>
      </c>
    </row>
    <row r="5471" spans="1:2" ht="15">
      <c r="A5471" s="113" t="s">
        <v>9776</v>
      </c>
      <c r="B5471" s="112" t="s">
        <v>11323</v>
      </c>
    </row>
    <row r="5472" spans="1:2" ht="15">
      <c r="A5472" s="113" t="s">
        <v>9777</v>
      </c>
      <c r="B5472" s="112" t="s">
        <v>11323</v>
      </c>
    </row>
    <row r="5473" spans="1:2" ht="15">
      <c r="A5473" s="113" t="s">
        <v>9778</v>
      </c>
      <c r="B5473" s="112" t="s">
        <v>11323</v>
      </c>
    </row>
    <row r="5474" spans="1:2" ht="15">
      <c r="A5474" s="113" t="s">
        <v>9779</v>
      </c>
      <c r="B5474" s="112" t="s">
        <v>11323</v>
      </c>
    </row>
    <row r="5475" spans="1:2" ht="15">
      <c r="A5475" s="113" t="s">
        <v>9780</v>
      </c>
      <c r="B5475" s="112" t="s">
        <v>11323</v>
      </c>
    </row>
    <row r="5476" spans="1:2" ht="15">
      <c r="A5476" s="113" t="s">
        <v>9781</v>
      </c>
      <c r="B5476" s="112" t="s">
        <v>11323</v>
      </c>
    </row>
    <row r="5477" spans="1:2" ht="15">
      <c r="A5477" s="113" t="s">
        <v>9782</v>
      </c>
      <c r="B5477" s="112" t="s">
        <v>11323</v>
      </c>
    </row>
    <row r="5478" spans="1:2" ht="15">
      <c r="A5478" s="113" t="s">
        <v>9783</v>
      </c>
      <c r="B5478" s="112" t="s">
        <v>11323</v>
      </c>
    </row>
    <row r="5479" spans="1:2" ht="15">
      <c r="A5479" s="113" t="s">
        <v>9784</v>
      </c>
      <c r="B5479" s="112" t="s">
        <v>11323</v>
      </c>
    </row>
    <row r="5480" spans="1:2" ht="15">
      <c r="A5480" s="113" t="s">
        <v>9785</v>
      </c>
      <c r="B5480" s="112" t="s">
        <v>11323</v>
      </c>
    </row>
    <row r="5481" spans="1:2" ht="15">
      <c r="A5481" s="113" t="s">
        <v>9786</v>
      </c>
      <c r="B5481" s="112" t="s">
        <v>11323</v>
      </c>
    </row>
    <row r="5482" spans="1:2" ht="15">
      <c r="A5482" s="113" t="s">
        <v>9787</v>
      </c>
      <c r="B5482" s="112" t="s">
        <v>11323</v>
      </c>
    </row>
    <row r="5483" spans="1:2" ht="15">
      <c r="A5483" s="113" t="s">
        <v>9788</v>
      </c>
      <c r="B5483" s="112" t="s">
        <v>11323</v>
      </c>
    </row>
    <row r="5484" spans="1:2" ht="15">
      <c r="A5484" s="113" t="s">
        <v>9789</v>
      </c>
      <c r="B5484" s="112" t="s">
        <v>11323</v>
      </c>
    </row>
    <row r="5485" spans="1:2" ht="15">
      <c r="A5485" s="113" t="s">
        <v>9790</v>
      </c>
      <c r="B5485" s="112" t="s">
        <v>11323</v>
      </c>
    </row>
    <row r="5486" spans="1:2" ht="15">
      <c r="A5486" s="113" t="s">
        <v>9791</v>
      </c>
      <c r="B5486" s="112" t="s">
        <v>11323</v>
      </c>
    </row>
    <row r="5487" spans="1:2" ht="15">
      <c r="A5487" s="113" t="s">
        <v>9792</v>
      </c>
      <c r="B5487" s="112" t="s">
        <v>11323</v>
      </c>
    </row>
    <row r="5488" spans="1:2" ht="15">
      <c r="A5488" s="113" t="s">
        <v>9793</v>
      </c>
      <c r="B5488" s="112" t="s">
        <v>11323</v>
      </c>
    </row>
    <row r="5489" spans="1:2" ht="15">
      <c r="A5489" s="113" t="s">
        <v>9794</v>
      </c>
      <c r="B5489" s="112" t="s">
        <v>11323</v>
      </c>
    </row>
    <row r="5490" spans="1:2" ht="15">
      <c r="A5490" s="113" t="s">
        <v>9795</v>
      </c>
      <c r="B5490" s="112" t="s">
        <v>11323</v>
      </c>
    </row>
    <row r="5491" spans="1:2" ht="15">
      <c r="A5491" s="113" t="s">
        <v>9796</v>
      </c>
      <c r="B5491" s="112" t="s">
        <v>11323</v>
      </c>
    </row>
    <row r="5492" spans="1:2" ht="15">
      <c r="A5492" s="113" t="s">
        <v>9797</v>
      </c>
      <c r="B5492" s="112" t="s">
        <v>11323</v>
      </c>
    </row>
    <row r="5493" spans="1:2" ht="15">
      <c r="A5493" s="113" t="s">
        <v>9798</v>
      </c>
      <c r="B5493" s="112" t="s">
        <v>11323</v>
      </c>
    </row>
    <row r="5494" spans="1:2" ht="15">
      <c r="A5494" s="113" t="s">
        <v>9799</v>
      </c>
      <c r="B5494" s="112" t="s">
        <v>11323</v>
      </c>
    </row>
    <row r="5495" spans="1:2" ht="15">
      <c r="A5495" s="113" t="s">
        <v>9800</v>
      </c>
      <c r="B5495" s="112" t="s">
        <v>11323</v>
      </c>
    </row>
    <row r="5496" spans="1:2" ht="15">
      <c r="A5496" s="113" t="s">
        <v>9801</v>
      </c>
      <c r="B5496" s="112" t="s">
        <v>11323</v>
      </c>
    </row>
    <row r="5497" spans="1:2" ht="15">
      <c r="A5497" s="113" t="s">
        <v>9802</v>
      </c>
      <c r="B5497" s="112" t="s">
        <v>11323</v>
      </c>
    </row>
    <row r="5498" spans="1:2" ht="15">
      <c r="A5498" s="113" t="s">
        <v>9803</v>
      </c>
      <c r="B5498" s="112" t="s">
        <v>11323</v>
      </c>
    </row>
    <row r="5499" spans="1:2" ht="15">
      <c r="A5499" s="113" t="s">
        <v>9804</v>
      </c>
      <c r="B5499" s="112" t="s">
        <v>11323</v>
      </c>
    </row>
    <row r="5500" spans="1:2" ht="15">
      <c r="A5500" s="113" t="s">
        <v>9805</v>
      </c>
      <c r="B5500" s="112" t="s">
        <v>11323</v>
      </c>
    </row>
    <row r="5501" spans="1:2" ht="15">
      <c r="A5501" s="113" t="s">
        <v>9806</v>
      </c>
      <c r="B5501" s="112" t="s">
        <v>11323</v>
      </c>
    </row>
    <row r="5502" spans="1:2" ht="15">
      <c r="A5502" s="113" t="s">
        <v>9807</v>
      </c>
      <c r="B5502" s="112" t="s">
        <v>11323</v>
      </c>
    </row>
    <row r="5503" spans="1:2" ht="15">
      <c r="A5503" s="113" t="s">
        <v>9808</v>
      </c>
      <c r="B5503" s="112" t="s">
        <v>11323</v>
      </c>
    </row>
    <row r="5504" spans="1:2" ht="15">
      <c r="A5504" s="113" t="s">
        <v>9809</v>
      </c>
      <c r="B5504" s="112" t="s">
        <v>11323</v>
      </c>
    </row>
    <row r="5505" spans="1:2" ht="15">
      <c r="A5505" s="113" t="s">
        <v>9810</v>
      </c>
      <c r="B5505" s="112" t="s">
        <v>11323</v>
      </c>
    </row>
    <row r="5506" spans="1:2" ht="15">
      <c r="A5506" s="113" t="s">
        <v>9811</v>
      </c>
      <c r="B5506" s="112" t="s">
        <v>11323</v>
      </c>
    </row>
    <row r="5507" spans="1:2" ht="15">
      <c r="A5507" s="113" t="s">
        <v>9812</v>
      </c>
      <c r="B5507" s="112" t="s">
        <v>11323</v>
      </c>
    </row>
    <row r="5508" spans="1:2" ht="15">
      <c r="A5508" s="113" t="s">
        <v>9813</v>
      </c>
      <c r="B5508" s="112" t="s">
        <v>11323</v>
      </c>
    </row>
    <row r="5509" spans="1:2" ht="15">
      <c r="A5509" s="113" t="s">
        <v>9814</v>
      </c>
      <c r="B5509" s="112" t="s">
        <v>11323</v>
      </c>
    </row>
    <row r="5510" spans="1:2" ht="15">
      <c r="A5510" s="113" t="s">
        <v>9815</v>
      </c>
      <c r="B5510" s="112" t="s">
        <v>11323</v>
      </c>
    </row>
    <row r="5511" spans="1:2" ht="15">
      <c r="A5511" s="113" t="s">
        <v>9816</v>
      </c>
      <c r="B5511" s="112" t="s">
        <v>11323</v>
      </c>
    </row>
    <row r="5512" spans="1:2" ht="15">
      <c r="A5512" s="113" t="s">
        <v>9817</v>
      </c>
      <c r="B5512" s="112" t="s">
        <v>11323</v>
      </c>
    </row>
    <row r="5513" spans="1:2" ht="15">
      <c r="A5513" s="113" t="s">
        <v>9818</v>
      </c>
      <c r="B5513" s="112" t="s">
        <v>11323</v>
      </c>
    </row>
    <row r="5514" spans="1:2" ht="15">
      <c r="A5514" s="113" t="s">
        <v>9819</v>
      </c>
      <c r="B5514" s="112" t="s">
        <v>11323</v>
      </c>
    </row>
    <row r="5515" spans="1:2" ht="15">
      <c r="A5515" s="113" t="s">
        <v>9820</v>
      </c>
      <c r="B5515" s="112" t="s">
        <v>11323</v>
      </c>
    </row>
    <row r="5516" spans="1:2" ht="15">
      <c r="A5516" s="113" t="s">
        <v>9821</v>
      </c>
      <c r="B5516" s="112" t="s">
        <v>11323</v>
      </c>
    </row>
    <row r="5517" spans="1:2" ht="15">
      <c r="A5517" s="113" t="s">
        <v>9822</v>
      </c>
      <c r="B5517" s="112" t="s">
        <v>11323</v>
      </c>
    </row>
    <row r="5518" spans="1:2" ht="15">
      <c r="A5518" s="113" t="s">
        <v>9823</v>
      </c>
      <c r="B5518" s="112" t="s">
        <v>11323</v>
      </c>
    </row>
    <row r="5519" spans="1:2" ht="15">
      <c r="A5519" s="113" t="s">
        <v>9824</v>
      </c>
      <c r="B5519" s="112" t="s">
        <v>11323</v>
      </c>
    </row>
    <row r="5520" spans="1:2" ht="15">
      <c r="A5520" s="113" t="s">
        <v>9825</v>
      </c>
      <c r="B5520" s="112" t="s">
        <v>11323</v>
      </c>
    </row>
    <row r="5521" spans="1:2" ht="15">
      <c r="A5521" s="113" t="s">
        <v>9826</v>
      </c>
      <c r="B5521" s="112" t="s">
        <v>11323</v>
      </c>
    </row>
    <row r="5522" spans="1:2" ht="15">
      <c r="A5522" s="113" t="s">
        <v>9827</v>
      </c>
      <c r="B5522" s="112" t="s">
        <v>11323</v>
      </c>
    </row>
    <row r="5523" spans="1:2" ht="15">
      <c r="A5523" s="113" t="s">
        <v>9828</v>
      </c>
      <c r="B5523" s="112" t="s">
        <v>11323</v>
      </c>
    </row>
    <row r="5524" spans="1:2" ht="15">
      <c r="A5524" s="113" t="s">
        <v>9829</v>
      </c>
      <c r="B5524" s="112" t="s">
        <v>11323</v>
      </c>
    </row>
    <row r="5525" spans="1:2" ht="15">
      <c r="A5525" s="113" t="s">
        <v>9830</v>
      </c>
      <c r="B5525" s="112" t="s">
        <v>11323</v>
      </c>
    </row>
    <row r="5526" spans="1:2" ht="15">
      <c r="A5526" s="113" t="s">
        <v>9831</v>
      </c>
      <c r="B5526" s="112" t="s">
        <v>11323</v>
      </c>
    </row>
    <row r="5527" spans="1:2" ht="15">
      <c r="A5527" s="113" t="s">
        <v>9832</v>
      </c>
      <c r="B5527" s="112" t="s">
        <v>11323</v>
      </c>
    </row>
    <row r="5528" spans="1:2" ht="15">
      <c r="A5528" s="113" t="s">
        <v>9833</v>
      </c>
      <c r="B5528" s="112" t="s">
        <v>11323</v>
      </c>
    </row>
    <row r="5529" spans="1:2" ht="15">
      <c r="A5529" s="113" t="s">
        <v>9834</v>
      </c>
      <c r="B5529" s="112" t="s">
        <v>11323</v>
      </c>
    </row>
    <row r="5530" spans="1:2" ht="15">
      <c r="A5530" s="113" t="s">
        <v>9835</v>
      </c>
      <c r="B5530" s="112" t="s">
        <v>11323</v>
      </c>
    </row>
    <row r="5531" spans="1:2" ht="15">
      <c r="A5531" s="113" t="s">
        <v>9836</v>
      </c>
      <c r="B5531" s="112" t="s">
        <v>11323</v>
      </c>
    </row>
    <row r="5532" spans="1:2" ht="15">
      <c r="A5532" s="113" t="s">
        <v>9837</v>
      </c>
      <c r="B5532" s="112" t="s">
        <v>11323</v>
      </c>
    </row>
    <row r="5533" spans="1:2" ht="15">
      <c r="A5533" s="113" t="s">
        <v>9838</v>
      </c>
      <c r="B5533" s="112" t="s">
        <v>11323</v>
      </c>
    </row>
    <row r="5534" spans="1:2" ht="15">
      <c r="A5534" s="113" t="s">
        <v>9839</v>
      </c>
      <c r="B5534" s="112" t="s">
        <v>11323</v>
      </c>
    </row>
    <row r="5535" spans="1:2" ht="15">
      <c r="A5535" s="113" t="s">
        <v>9840</v>
      </c>
      <c r="B5535" s="112" t="s">
        <v>11323</v>
      </c>
    </row>
    <row r="5536" spans="1:2" ht="15">
      <c r="A5536" s="113" t="s">
        <v>9841</v>
      </c>
      <c r="B5536" s="112" t="s">
        <v>11323</v>
      </c>
    </row>
    <row r="5537" spans="1:2" ht="15">
      <c r="A5537" s="113" t="s">
        <v>9842</v>
      </c>
      <c r="B5537" s="112" t="s">
        <v>11323</v>
      </c>
    </row>
    <row r="5538" spans="1:2" ht="15">
      <c r="A5538" s="113" t="s">
        <v>9843</v>
      </c>
      <c r="B5538" s="112" t="s">
        <v>11323</v>
      </c>
    </row>
    <row r="5539" spans="1:2" ht="15">
      <c r="A5539" s="113" t="s">
        <v>9844</v>
      </c>
      <c r="B5539" s="112" t="s">
        <v>11323</v>
      </c>
    </row>
    <row r="5540" spans="1:2" ht="15">
      <c r="A5540" s="113" t="s">
        <v>9845</v>
      </c>
      <c r="B5540" s="112" t="s">
        <v>11323</v>
      </c>
    </row>
    <row r="5541" spans="1:2" ht="15">
      <c r="A5541" s="113" t="s">
        <v>9846</v>
      </c>
      <c r="B5541" s="112" t="s">
        <v>11323</v>
      </c>
    </row>
    <row r="5542" spans="1:2" ht="15">
      <c r="A5542" s="113" t="s">
        <v>9847</v>
      </c>
      <c r="B5542" s="112" t="s">
        <v>11323</v>
      </c>
    </row>
    <row r="5543" spans="1:2" ht="15">
      <c r="A5543" s="113" t="s">
        <v>9848</v>
      </c>
      <c r="B5543" s="112" t="s">
        <v>11323</v>
      </c>
    </row>
    <row r="5544" spans="1:2" ht="15">
      <c r="A5544" s="113" t="s">
        <v>9849</v>
      </c>
      <c r="B5544" s="112" t="s">
        <v>11323</v>
      </c>
    </row>
    <row r="5545" spans="1:2" ht="15">
      <c r="A5545" s="113" t="s">
        <v>9850</v>
      </c>
      <c r="B5545" s="112" t="s">
        <v>11323</v>
      </c>
    </row>
    <row r="5546" spans="1:2" ht="15">
      <c r="A5546" s="113" t="s">
        <v>9851</v>
      </c>
      <c r="B5546" s="112" t="s">
        <v>11323</v>
      </c>
    </row>
    <row r="5547" spans="1:2" ht="15">
      <c r="A5547" s="113" t="s">
        <v>9852</v>
      </c>
      <c r="B5547" s="112" t="s">
        <v>11323</v>
      </c>
    </row>
    <row r="5548" spans="1:2" ht="15">
      <c r="A5548" s="113" t="s">
        <v>9853</v>
      </c>
      <c r="B5548" s="112" t="s">
        <v>11323</v>
      </c>
    </row>
    <row r="5549" spans="1:2" ht="15">
      <c r="A5549" s="113" t="s">
        <v>9854</v>
      </c>
      <c r="B5549" s="112" t="s">
        <v>11323</v>
      </c>
    </row>
    <row r="5550" spans="1:2" ht="15">
      <c r="A5550" s="113" t="s">
        <v>9855</v>
      </c>
      <c r="B5550" s="112" t="s">
        <v>11323</v>
      </c>
    </row>
    <row r="5551" spans="1:2" ht="15">
      <c r="A5551" s="113" t="s">
        <v>9856</v>
      </c>
      <c r="B5551" s="112" t="s">
        <v>11323</v>
      </c>
    </row>
    <row r="5552" spans="1:2" ht="15">
      <c r="A5552" s="113" t="s">
        <v>9857</v>
      </c>
      <c r="B5552" s="112" t="s">
        <v>11323</v>
      </c>
    </row>
    <row r="5553" spans="1:2" ht="15">
      <c r="A5553" s="113" t="s">
        <v>9858</v>
      </c>
      <c r="B5553" s="112" t="s">
        <v>11323</v>
      </c>
    </row>
    <row r="5554" spans="1:2" ht="15">
      <c r="A5554" s="113" t="s">
        <v>9859</v>
      </c>
      <c r="B5554" s="112" t="s">
        <v>11323</v>
      </c>
    </row>
    <row r="5555" spans="1:2" ht="15">
      <c r="A5555" s="113" t="s">
        <v>9860</v>
      </c>
      <c r="B5555" s="112" t="s">
        <v>11323</v>
      </c>
    </row>
    <row r="5556" spans="1:2" ht="15">
      <c r="A5556" s="113" t="s">
        <v>9861</v>
      </c>
      <c r="B5556" s="112" t="s">
        <v>11323</v>
      </c>
    </row>
    <row r="5557" spans="1:2" ht="15">
      <c r="A5557" s="113" t="s">
        <v>9862</v>
      </c>
      <c r="B5557" s="112" t="s">
        <v>11323</v>
      </c>
    </row>
    <row r="5558" spans="1:2" ht="15">
      <c r="A5558" s="113" t="s">
        <v>9863</v>
      </c>
      <c r="B5558" s="112" t="s">
        <v>11323</v>
      </c>
    </row>
    <row r="5559" spans="1:2" ht="15">
      <c r="A5559" s="113" t="s">
        <v>9864</v>
      </c>
      <c r="B5559" s="112" t="s">
        <v>11323</v>
      </c>
    </row>
    <row r="5560" spans="1:2" ht="15">
      <c r="A5560" s="113" t="s">
        <v>9865</v>
      </c>
      <c r="B5560" s="112" t="s">
        <v>11323</v>
      </c>
    </row>
    <row r="5561" spans="1:2" ht="15">
      <c r="A5561" s="113" t="s">
        <v>9866</v>
      </c>
      <c r="B5561" s="112" t="s">
        <v>11323</v>
      </c>
    </row>
    <row r="5562" spans="1:2" ht="15">
      <c r="A5562" s="113" t="s">
        <v>9867</v>
      </c>
      <c r="B5562" s="112" t="s">
        <v>11323</v>
      </c>
    </row>
    <row r="5563" spans="1:2" ht="15">
      <c r="A5563" s="113" t="s">
        <v>9868</v>
      </c>
      <c r="B5563" s="112" t="s">
        <v>11323</v>
      </c>
    </row>
    <row r="5564" spans="1:2" ht="15">
      <c r="A5564" s="113" t="s">
        <v>9869</v>
      </c>
      <c r="B5564" s="112" t="s">
        <v>11323</v>
      </c>
    </row>
    <row r="5565" spans="1:2" ht="15">
      <c r="A5565" s="113" t="s">
        <v>9870</v>
      </c>
      <c r="B5565" s="112" t="s">
        <v>11323</v>
      </c>
    </row>
    <row r="5566" spans="1:2" ht="15">
      <c r="A5566" s="113" t="s">
        <v>9871</v>
      </c>
      <c r="B5566" s="112" t="s">
        <v>11323</v>
      </c>
    </row>
    <row r="5567" spans="1:2" ht="15">
      <c r="A5567" s="113" t="s">
        <v>9872</v>
      </c>
      <c r="B5567" s="112" t="s">
        <v>11323</v>
      </c>
    </row>
    <row r="5568" spans="1:2" ht="15">
      <c r="A5568" s="113" t="s">
        <v>9873</v>
      </c>
      <c r="B5568" s="112" t="s">
        <v>11323</v>
      </c>
    </row>
    <row r="5569" spans="1:2" ht="15">
      <c r="A5569" s="113" t="s">
        <v>9874</v>
      </c>
      <c r="B5569" s="112" t="s">
        <v>11323</v>
      </c>
    </row>
    <row r="5570" spans="1:2" ht="15">
      <c r="A5570" s="113" t="s">
        <v>9875</v>
      </c>
      <c r="B5570" s="112" t="s">
        <v>11323</v>
      </c>
    </row>
    <row r="5571" spans="1:2" ht="15">
      <c r="A5571" s="113" t="s">
        <v>9876</v>
      </c>
      <c r="B5571" s="112" t="s">
        <v>11323</v>
      </c>
    </row>
    <row r="5572" spans="1:2" ht="15">
      <c r="A5572" s="113" t="s">
        <v>9877</v>
      </c>
      <c r="B5572" s="112" t="s">
        <v>11323</v>
      </c>
    </row>
    <row r="5573" spans="1:2" ht="15">
      <c r="A5573" s="113" t="s">
        <v>9878</v>
      </c>
      <c r="B5573" s="112" t="s">
        <v>11323</v>
      </c>
    </row>
    <row r="5574" spans="1:2" ht="15">
      <c r="A5574" s="113" t="s">
        <v>9879</v>
      </c>
      <c r="B5574" s="112" t="s">
        <v>11323</v>
      </c>
    </row>
    <row r="5575" spans="1:2" ht="15">
      <c r="A5575" s="113" t="s">
        <v>9880</v>
      </c>
      <c r="B5575" s="112" t="s">
        <v>11323</v>
      </c>
    </row>
    <row r="5576" spans="1:2" ht="15">
      <c r="A5576" s="113" t="s">
        <v>9881</v>
      </c>
      <c r="B5576" s="112" t="s">
        <v>11323</v>
      </c>
    </row>
    <row r="5577" spans="1:2" ht="15">
      <c r="A5577" s="113" t="s">
        <v>9882</v>
      </c>
      <c r="B5577" s="112" t="s">
        <v>11323</v>
      </c>
    </row>
    <row r="5578" spans="1:2" ht="15">
      <c r="A5578" s="113" t="s">
        <v>9883</v>
      </c>
      <c r="B5578" s="112" t="s">
        <v>11323</v>
      </c>
    </row>
    <row r="5579" spans="1:2" ht="15">
      <c r="A5579" s="113" t="s">
        <v>9884</v>
      </c>
      <c r="B5579" s="112" t="s">
        <v>11323</v>
      </c>
    </row>
    <row r="5580" spans="1:2" ht="15">
      <c r="A5580" s="113" t="s">
        <v>9885</v>
      </c>
      <c r="B5580" s="112" t="s">
        <v>11323</v>
      </c>
    </row>
    <row r="5581" spans="1:2" ht="15">
      <c r="A5581" s="113" t="s">
        <v>9886</v>
      </c>
      <c r="B5581" s="112" t="s">
        <v>11323</v>
      </c>
    </row>
    <row r="5582" spans="1:2" ht="15">
      <c r="A5582" s="113" t="s">
        <v>9887</v>
      </c>
      <c r="B5582" s="112" t="s">
        <v>11323</v>
      </c>
    </row>
    <row r="5583" spans="1:2" ht="15">
      <c r="A5583" s="113" t="s">
        <v>9888</v>
      </c>
      <c r="B5583" s="112" t="s">
        <v>11323</v>
      </c>
    </row>
    <row r="5584" spans="1:2" ht="15">
      <c r="A5584" s="113" t="s">
        <v>9889</v>
      </c>
      <c r="B5584" s="112" t="s">
        <v>11323</v>
      </c>
    </row>
    <row r="5585" spans="1:2" ht="15">
      <c r="A5585" s="113" t="s">
        <v>9890</v>
      </c>
      <c r="B5585" s="112" t="s">
        <v>11323</v>
      </c>
    </row>
    <row r="5586" spans="1:2" ht="15">
      <c r="A5586" s="113" t="s">
        <v>9891</v>
      </c>
      <c r="B5586" s="112" t="s">
        <v>11323</v>
      </c>
    </row>
    <row r="5587" spans="1:2" ht="15">
      <c r="A5587" s="113" t="s">
        <v>9892</v>
      </c>
      <c r="B5587" s="112" t="s">
        <v>11323</v>
      </c>
    </row>
    <row r="5588" spans="1:2" ht="15">
      <c r="A5588" s="113" t="s">
        <v>9893</v>
      </c>
      <c r="B5588" s="112" t="s">
        <v>11323</v>
      </c>
    </row>
    <row r="5589" spans="1:2" ht="15">
      <c r="A5589" s="113" t="s">
        <v>9894</v>
      </c>
      <c r="B5589" s="112" t="s">
        <v>11323</v>
      </c>
    </row>
    <row r="5590" spans="1:2" ht="15">
      <c r="A5590" s="113" t="s">
        <v>9895</v>
      </c>
      <c r="B5590" s="112" t="s">
        <v>11323</v>
      </c>
    </row>
    <row r="5591" spans="1:2" ht="15">
      <c r="A5591" s="113" t="s">
        <v>9896</v>
      </c>
      <c r="B5591" s="112" t="s">
        <v>11323</v>
      </c>
    </row>
    <row r="5592" spans="1:2" ht="15">
      <c r="A5592" s="113" t="s">
        <v>9897</v>
      </c>
      <c r="B5592" s="112" t="s">
        <v>11323</v>
      </c>
    </row>
    <row r="5593" spans="1:2" ht="15">
      <c r="A5593" s="113" t="s">
        <v>9898</v>
      </c>
      <c r="B5593" s="112" t="s">
        <v>11323</v>
      </c>
    </row>
    <row r="5594" spans="1:2" ht="15">
      <c r="A5594" s="113" t="s">
        <v>9899</v>
      </c>
      <c r="B5594" s="112" t="s">
        <v>11323</v>
      </c>
    </row>
    <row r="5595" spans="1:2" ht="15">
      <c r="A5595" s="113" t="s">
        <v>9900</v>
      </c>
      <c r="B5595" s="112" t="s">
        <v>11323</v>
      </c>
    </row>
    <row r="5596" spans="1:2" ht="15">
      <c r="A5596" s="113" t="s">
        <v>9901</v>
      </c>
      <c r="B5596" s="112" t="s">
        <v>11323</v>
      </c>
    </row>
    <row r="5597" spans="1:2" ht="15">
      <c r="A5597" s="113" t="s">
        <v>9902</v>
      </c>
      <c r="B5597" s="112" t="s">
        <v>11323</v>
      </c>
    </row>
    <row r="5598" spans="1:2" ht="15">
      <c r="A5598" s="113" t="s">
        <v>9903</v>
      </c>
      <c r="B5598" s="112" t="s">
        <v>11323</v>
      </c>
    </row>
    <row r="5599" spans="1:2" ht="15">
      <c r="A5599" s="113" t="s">
        <v>9904</v>
      </c>
      <c r="B5599" s="112" t="s">
        <v>11323</v>
      </c>
    </row>
    <row r="5600" spans="1:2" ht="15">
      <c r="A5600" s="113" t="s">
        <v>9905</v>
      </c>
      <c r="B5600" s="112" t="s">
        <v>11323</v>
      </c>
    </row>
    <row r="5601" spans="1:2" ht="15">
      <c r="A5601" s="113" t="s">
        <v>9906</v>
      </c>
      <c r="B5601" s="112" t="s">
        <v>11323</v>
      </c>
    </row>
    <row r="5602" spans="1:2" ht="15">
      <c r="A5602" s="113" t="s">
        <v>9907</v>
      </c>
      <c r="B5602" s="112" t="s">
        <v>11323</v>
      </c>
    </row>
    <row r="5603" spans="1:2" ht="15">
      <c r="A5603" s="113" t="s">
        <v>9908</v>
      </c>
      <c r="B5603" s="112" t="s">
        <v>11323</v>
      </c>
    </row>
    <row r="5604" spans="1:2" ht="15">
      <c r="A5604" s="113" t="s">
        <v>9909</v>
      </c>
      <c r="B5604" s="112" t="s">
        <v>11323</v>
      </c>
    </row>
    <row r="5605" spans="1:2" ht="15">
      <c r="A5605" s="113" t="s">
        <v>9910</v>
      </c>
      <c r="B5605" s="112" t="s">
        <v>11323</v>
      </c>
    </row>
    <row r="5606" spans="1:2" ht="15">
      <c r="A5606" s="113" t="s">
        <v>9911</v>
      </c>
      <c r="B5606" s="112" t="s">
        <v>11323</v>
      </c>
    </row>
    <row r="5607" spans="1:2" ht="15">
      <c r="A5607" s="113" t="s">
        <v>9912</v>
      </c>
      <c r="B5607" s="112" t="s">
        <v>11323</v>
      </c>
    </row>
    <row r="5608" spans="1:2" ht="15">
      <c r="A5608" s="113" t="s">
        <v>9913</v>
      </c>
      <c r="B5608" s="112" t="s">
        <v>11323</v>
      </c>
    </row>
    <row r="5609" spans="1:2" ht="15">
      <c r="A5609" s="113" t="s">
        <v>9914</v>
      </c>
      <c r="B5609" s="112" t="s">
        <v>11323</v>
      </c>
    </row>
    <row r="5610" spans="1:2" ht="15">
      <c r="A5610" s="113" t="s">
        <v>9915</v>
      </c>
      <c r="B5610" s="112" t="s">
        <v>11323</v>
      </c>
    </row>
    <row r="5611" spans="1:2" ht="15">
      <c r="A5611" s="113" t="s">
        <v>9916</v>
      </c>
      <c r="B5611" s="112" t="s">
        <v>11323</v>
      </c>
    </row>
    <row r="5612" spans="1:2" ht="15">
      <c r="A5612" s="113" t="s">
        <v>9917</v>
      </c>
      <c r="B5612" s="112" t="s">
        <v>11323</v>
      </c>
    </row>
    <row r="5613" spans="1:2" ht="15">
      <c r="A5613" s="113" t="s">
        <v>9918</v>
      </c>
      <c r="B5613" s="112" t="s">
        <v>11323</v>
      </c>
    </row>
    <row r="5614" spans="1:2" ht="15">
      <c r="A5614" s="113" t="s">
        <v>9919</v>
      </c>
      <c r="B5614" s="112" t="s">
        <v>11323</v>
      </c>
    </row>
    <row r="5615" spans="1:2" ht="15">
      <c r="A5615" s="113" t="s">
        <v>9920</v>
      </c>
      <c r="B5615" s="112" t="s">
        <v>11323</v>
      </c>
    </row>
    <row r="5616" spans="1:2" ht="15">
      <c r="A5616" s="113" t="s">
        <v>9921</v>
      </c>
      <c r="B5616" s="112" t="s">
        <v>11323</v>
      </c>
    </row>
    <row r="5617" spans="1:2" ht="15">
      <c r="A5617" s="113" t="s">
        <v>9922</v>
      </c>
      <c r="B5617" s="112" t="s">
        <v>11323</v>
      </c>
    </row>
    <row r="5618" spans="1:2" ht="15">
      <c r="A5618" s="113" t="s">
        <v>9923</v>
      </c>
      <c r="B5618" s="112" t="s">
        <v>11323</v>
      </c>
    </row>
    <row r="5619" spans="1:2" ht="15">
      <c r="A5619" s="113" t="s">
        <v>9924</v>
      </c>
      <c r="B5619" s="112" t="s">
        <v>11323</v>
      </c>
    </row>
    <row r="5620" spans="1:2" ht="15">
      <c r="A5620" s="113" t="s">
        <v>9925</v>
      </c>
      <c r="B5620" s="112" t="s">
        <v>11323</v>
      </c>
    </row>
    <row r="5621" spans="1:2" ht="15">
      <c r="A5621" s="113" t="s">
        <v>9926</v>
      </c>
      <c r="B5621" s="112" t="s">
        <v>11323</v>
      </c>
    </row>
    <row r="5622" spans="1:2" ht="15">
      <c r="A5622" s="113" t="s">
        <v>9927</v>
      </c>
      <c r="B5622" s="112" t="s">
        <v>11323</v>
      </c>
    </row>
    <row r="5623" spans="1:2" ht="15">
      <c r="A5623" s="113" t="s">
        <v>9928</v>
      </c>
      <c r="B5623" s="112" t="s">
        <v>11323</v>
      </c>
    </row>
    <row r="5624" spans="1:2" ht="15">
      <c r="A5624" s="113" t="s">
        <v>9929</v>
      </c>
      <c r="B5624" s="112" t="s">
        <v>11323</v>
      </c>
    </row>
    <row r="5625" spans="1:2" ht="15">
      <c r="A5625" s="113" t="s">
        <v>9930</v>
      </c>
      <c r="B5625" s="112" t="s">
        <v>11323</v>
      </c>
    </row>
    <row r="5626" spans="1:2" ht="15">
      <c r="A5626" s="113" t="s">
        <v>9931</v>
      </c>
      <c r="B5626" s="112" t="s">
        <v>11323</v>
      </c>
    </row>
    <row r="5627" spans="1:2" ht="15">
      <c r="A5627" s="113" t="s">
        <v>9932</v>
      </c>
      <c r="B5627" s="112" t="s">
        <v>11323</v>
      </c>
    </row>
    <row r="5628" spans="1:2" ht="15">
      <c r="A5628" s="113" t="s">
        <v>9933</v>
      </c>
      <c r="B5628" s="112" t="s">
        <v>11323</v>
      </c>
    </row>
    <row r="5629" spans="1:2" ht="15">
      <c r="A5629" s="113" t="s">
        <v>9934</v>
      </c>
      <c r="B5629" s="112" t="s">
        <v>11323</v>
      </c>
    </row>
    <row r="5630" spans="1:2" ht="15">
      <c r="A5630" s="113" t="s">
        <v>9935</v>
      </c>
      <c r="B5630" s="112" t="s">
        <v>11323</v>
      </c>
    </row>
    <row r="5631" spans="1:2" ht="15">
      <c r="A5631" s="113" t="s">
        <v>9936</v>
      </c>
      <c r="B5631" s="112" t="s">
        <v>11323</v>
      </c>
    </row>
    <row r="5632" spans="1:2" ht="15">
      <c r="A5632" s="113" t="s">
        <v>9937</v>
      </c>
      <c r="B5632" s="112" t="s">
        <v>11323</v>
      </c>
    </row>
    <row r="5633" spans="1:2" ht="15">
      <c r="A5633" s="113" t="s">
        <v>9938</v>
      </c>
      <c r="B5633" s="112" t="s">
        <v>11323</v>
      </c>
    </row>
    <row r="5634" spans="1:2" ht="15">
      <c r="A5634" s="113" t="s">
        <v>9939</v>
      </c>
      <c r="B5634" s="112" t="s">
        <v>11323</v>
      </c>
    </row>
    <row r="5635" spans="1:2" ht="15">
      <c r="A5635" s="113" t="s">
        <v>9940</v>
      </c>
      <c r="B5635" s="112" t="s">
        <v>11323</v>
      </c>
    </row>
    <row r="5636" spans="1:2" ht="15">
      <c r="A5636" s="113" t="s">
        <v>9941</v>
      </c>
      <c r="B5636" s="112" t="s">
        <v>11323</v>
      </c>
    </row>
    <row r="5637" spans="1:2" ht="15">
      <c r="A5637" s="113" t="s">
        <v>9942</v>
      </c>
      <c r="B5637" s="112" t="s">
        <v>11323</v>
      </c>
    </row>
    <row r="5638" spans="1:2" ht="15">
      <c r="A5638" s="113" t="s">
        <v>9943</v>
      </c>
      <c r="B5638" s="112" t="s">
        <v>11323</v>
      </c>
    </row>
    <row r="5639" spans="1:2" ht="15">
      <c r="A5639" s="113" t="s">
        <v>9944</v>
      </c>
      <c r="B5639" s="112" t="s">
        <v>11323</v>
      </c>
    </row>
    <row r="5640" spans="1:2" ht="15">
      <c r="A5640" s="113" t="s">
        <v>9945</v>
      </c>
      <c r="B5640" s="112" t="s">
        <v>11323</v>
      </c>
    </row>
    <row r="5641" spans="1:2" ht="15">
      <c r="A5641" s="113" t="s">
        <v>9946</v>
      </c>
      <c r="B5641" s="112" t="s">
        <v>11323</v>
      </c>
    </row>
    <row r="5642" spans="1:2" ht="15">
      <c r="A5642" s="113" t="s">
        <v>9947</v>
      </c>
      <c r="B5642" s="112" t="s">
        <v>11323</v>
      </c>
    </row>
    <row r="5643" spans="1:2" ht="15">
      <c r="A5643" s="113" t="s">
        <v>9948</v>
      </c>
      <c r="B5643" s="112" t="s">
        <v>11323</v>
      </c>
    </row>
    <row r="5644" spans="1:2" ht="15">
      <c r="A5644" s="113" t="s">
        <v>9949</v>
      </c>
      <c r="B5644" s="112" t="s">
        <v>11323</v>
      </c>
    </row>
    <row r="5645" spans="1:2" ht="15">
      <c r="A5645" s="113" t="s">
        <v>9950</v>
      </c>
      <c r="B5645" s="112" t="s">
        <v>11323</v>
      </c>
    </row>
    <row r="5646" spans="1:2" ht="15">
      <c r="A5646" s="113" t="s">
        <v>9951</v>
      </c>
      <c r="B5646" s="112" t="s">
        <v>11323</v>
      </c>
    </row>
    <row r="5647" spans="1:2" ht="15">
      <c r="A5647" s="113" t="s">
        <v>9952</v>
      </c>
      <c r="B5647" s="112" t="s">
        <v>11323</v>
      </c>
    </row>
    <row r="5648" spans="1:2" ht="15">
      <c r="A5648" s="113" t="s">
        <v>9953</v>
      </c>
      <c r="B5648" s="112" t="s">
        <v>11323</v>
      </c>
    </row>
    <row r="5649" spans="1:2" ht="15">
      <c r="A5649" s="113" t="s">
        <v>9954</v>
      </c>
      <c r="B5649" s="112" t="s">
        <v>11323</v>
      </c>
    </row>
    <row r="5650" spans="1:2" ht="15">
      <c r="A5650" s="113" t="s">
        <v>9955</v>
      </c>
      <c r="B5650" s="112" t="s">
        <v>11323</v>
      </c>
    </row>
    <row r="5651" spans="1:2" ht="15">
      <c r="A5651" s="113" t="s">
        <v>9956</v>
      </c>
      <c r="B5651" s="112" t="s">
        <v>11323</v>
      </c>
    </row>
    <row r="5652" spans="1:2" ht="15">
      <c r="A5652" s="113" t="s">
        <v>9957</v>
      </c>
      <c r="B5652" s="112" t="s">
        <v>11323</v>
      </c>
    </row>
    <row r="5653" spans="1:2" ht="15">
      <c r="A5653" s="113" t="s">
        <v>9958</v>
      </c>
      <c r="B5653" s="112" t="s">
        <v>11323</v>
      </c>
    </row>
    <row r="5654" spans="1:2" ht="15">
      <c r="A5654" s="113" t="s">
        <v>9959</v>
      </c>
      <c r="B5654" s="112" t="s">
        <v>11323</v>
      </c>
    </row>
    <row r="5655" spans="1:2" ht="15">
      <c r="A5655" s="113" t="s">
        <v>9960</v>
      </c>
      <c r="B5655" s="112" t="s">
        <v>11323</v>
      </c>
    </row>
    <row r="5656" spans="1:2" ht="15">
      <c r="A5656" s="113" t="s">
        <v>9961</v>
      </c>
      <c r="B5656" s="112" t="s">
        <v>11323</v>
      </c>
    </row>
    <row r="5657" spans="1:2" ht="15">
      <c r="A5657" s="113" t="s">
        <v>9962</v>
      </c>
      <c r="B5657" s="112" t="s">
        <v>11323</v>
      </c>
    </row>
    <row r="5658" spans="1:2" ht="15">
      <c r="A5658" s="113" t="s">
        <v>9963</v>
      </c>
      <c r="B5658" s="112" t="s">
        <v>11323</v>
      </c>
    </row>
    <row r="5659" spans="1:2" ht="15">
      <c r="A5659" s="113" t="s">
        <v>9964</v>
      </c>
      <c r="B5659" s="112" t="s">
        <v>11323</v>
      </c>
    </row>
    <row r="5660" spans="1:2" ht="15">
      <c r="A5660" s="113" t="s">
        <v>9965</v>
      </c>
      <c r="B5660" s="112" t="s">
        <v>11323</v>
      </c>
    </row>
    <row r="5661" spans="1:2" ht="15">
      <c r="A5661" s="113" t="s">
        <v>9966</v>
      </c>
      <c r="B5661" s="112" t="s">
        <v>11323</v>
      </c>
    </row>
    <row r="5662" spans="1:2" ht="15">
      <c r="A5662" s="113" t="s">
        <v>9967</v>
      </c>
      <c r="B5662" s="112" t="s">
        <v>11323</v>
      </c>
    </row>
    <row r="5663" spans="1:2" ht="15">
      <c r="A5663" s="113" t="s">
        <v>9968</v>
      </c>
      <c r="B5663" s="112" t="s">
        <v>11323</v>
      </c>
    </row>
    <row r="5664" spans="1:2" ht="15">
      <c r="A5664" s="113" t="s">
        <v>9969</v>
      </c>
      <c r="B5664" s="112" t="s">
        <v>11323</v>
      </c>
    </row>
    <row r="5665" spans="1:2" ht="15">
      <c r="A5665" s="113" t="s">
        <v>9970</v>
      </c>
      <c r="B5665" s="112" t="s">
        <v>11323</v>
      </c>
    </row>
    <row r="5666" spans="1:2" ht="15">
      <c r="A5666" s="113" t="s">
        <v>9971</v>
      </c>
      <c r="B5666" s="112" t="s">
        <v>11323</v>
      </c>
    </row>
    <row r="5667" spans="1:2" ht="15">
      <c r="A5667" s="113" t="s">
        <v>9972</v>
      </c>
      <c r="B5667" s="112" t="s">
        <v>11323</v>
      </c>
    </row>
    <row r="5668" spans="1:2" ht="15">
      <c r="A5668" s="113" t="s">
        <v>9973</v>
      </c>
      <c r="B5668" s="112" t="s">
        <v>11323</v>
      </c>
    </row>
    <row r="5669" spans="1:2" ht="15">
      <c r="A5669" s="113" t="s">
        <v>9974</v>
      </c>
      <c r="B5669" s="112" t="s">
        <v>11323</v>
      </c>
    </row>
    <row r="5670" spans="1:2" ht="15">
      <c r="A5670" s="113" t="s">
        <v>9975</v>
      </c>
      <c r="B5670" s="112" t="s">
        <v>11323</v>
      </c>
    </row>
    <row r="5671" spans="1:2" ht="15">
      <c r="A5671" s="113" t="s">
        <v>9976</v>
      </c>
      <c r="B5671" s="112" t="s">
        <v>11323</v>
      </c>
    </row>
    <row r="5672" spans="1:2" ht="15">
      <c r="A5672" s="113" t="s">
        <v>9977</v>
      </c>
      <c r="B5672" s="112" t="s">
        <v>11323</v>
      </c>
    </row>
    <row r="5673" spans="1:2" ht="15">
      <c r="A5673" s="113" t="s">
        <v>9978</v>
      </c>
      <c r="B5673" s="112" t="s">
        <v>11323</v>
      </c>
    </row>
    <row r="5674" spans="1:2" ht="15">
      <c r="A5674" s="113" t="s">
        <v>9979</v>
      </c>
      <c r="B5674" s="112" t="s">
        <v>11323</v>
      </c>
    </row>
    <row r="5675" spans="1:2" ht="15">
      <c r="A5675" s="113" t="s">
        <v>9980</v>
      </c>
      <c r="B5675" s="112" t="s">
        <v>11323</v>
      </c>
    </row>
    <row r="5676" spans="1:2" ht="15">
      <c r="A5676" s="113" t="s">
        <v>9981</v>
      </c>
      <c r="B5676" s="112" t="s">
        <v>11323</v>
      </c>
    </row>
    <row r="5677" spans="1:2" ht="15">
      <c r="A5677" s="113" t="s">
        <v>9982</v>
      </c>
      <c r="B5677" s="112" t="s">
        <v>11323</v>
      </c>
    </row>
    <row r="5678" spans="1:2" ht="15">
      <c r="A5678" s="113" t="s">
        <v>9983</v>
      </c>
      <c r="B5678" s="112" t="s">
        <v>11323</v>
      </c>
    </row>
    <row r="5679" spans="1:2" ht="15">
      <c r="A5679" s="113" t="s">
        <v>9984</v>
      </c>
      <c r="B5679" s="112" t="s">
        <v>11323</v>
      </c>
    </row>
    <row r="5680" spans="1:2" ht="15">
      <c r="A5680" s="113" t="s">
        <v>9985</v>
      </c>
      <c r="B5680" s="112" t="s">
        <v>11323</v>
      </c>
    </row>
    <row r="5681" spans="1:2" ht="15">
      <c r="A5681" s="113" t="s">
        <v>9986</v>
      </c>
      <c r="B5681" s="112" t="s">
        <v>11323</v>
      </c>
    </row>
    <row r="5682" spans="1:2" ht="15">
      <c r="A5682" s="113" t="s">
        <v>9987</v>
      </c>
      <c r="B5682" s="112" t="s">
        <v>11323</v>
      </c>
    </row>
    <row r="5683" spans="1:2" ht="15">
      <c r="A5683" s="113" t="s">
        <v>9988</v>
      </c>
      <c r="B5683" s="112" t="s">
        <v>11323</v>
      </c>
    </row>
    <row r="5684" spans="1:2" ht="15">
      <c r="A5684" s="113" t="s">
        <v>9989</v>
      </c>
      <c r="B5684" s="112" t="s">
        <v>11323</v>
      </c>
    </row>
    <row r="5685" spans="1:2" ht="15">
      <c r="A5685" s="113" t="s">
        <v>9990</v>
      </c>
      <c r="B5685" s="112" t="s">
        <v>11323</v>
      </c>
    </row>
    <row r="5686" spans="1:2" ht="15">
      <c r="A5686" s="113" t="s">
        <v>9991</v>
      </c>
      <c r="B5686" s="112" t="s">
        <v>11323</v>
      </c>
    </row>
    <row r="5687" spans="1:2" ht="15">
      <c r="A5687" s="113" t="s">
        <v>9992</v>
      </c>
      <c r="B5687" s="112" t="s">
        <v>11323</v>
      </c>
    </row>
    <row r="5688" spans="1:2" ht="15">
      <c r="A5688" s="113" t="s">
        <v>9993</v>
      </c>
      <c r="B5688" s="112" t="s">
        <v>11323</v>
      </c>
    </row>
    <row r="5689" spans="1:2" ht="15">
      <c r="A5689" s="113" t="s">
        <v>9994</v>
      </c>
      <c r="B5689" s="112" t="s">
        <v>11323</v>
      </c>
    </row>
    <row r="5690" spans="1:2" ht="15">
      <c r="A5690" s="113" t="s">
        <v>9995</v>
      </c>
      <c r="B5690" s="112" t="s">
        <v>11323</v>
      </c>
    </row>
    <row r="5691" spans="1:2" ht="15">
      <c r="A5691" s="113" t="s">
        <v>9996</v>
      </c>
      <c r="B5691" s="112" t="s">
        <v>11323</v>
      </c>
    </row>
    <row r="5692" spans="1:2" ht="15">
      <c r="A5692" s="113" t="s">
        <v>9997</v>
      </c>
      <c r="B5692" s="112" t="s">
        <v>11323</v>
      </c>
    </row>
    <row r="5693" spans="1:2" ht="15">
      <c r="A5693" s="113" t="s">
        <v>9998</v>
      </c>
      <c r="B5693" s="112" t="s">
        <v>11323</v>
      </c>
    </row>
    <row r="5694" spans="1:2" ht="15">
      <c r="A5694" s="113" t="s">
        <v>9999</v>
      </c>
      <c r="B5694" s="112" t="s">
        <v>11323</v>
      </c>
    </row>
    <row r="5695" spans="1:2" ht="15">
      <c r="A5695" s="113" t="s">
        <v>10000</v>
      </c>
      <c r="B5695" s="112" t="s">
        <v>11323</v>
      </c>
    </row>
    <row r="5696" spans="1:2" ht="15">
      <c r="A5696" s="113" t="s">
        <v>10001</v>
      </c>
      <c r="B5696" s="112" t="s">
        <v>11323</v>
      </c>
    </row>
    <row r="5697" spans="1:2" ht="15">
      <c r="A5697" s="113" t="s">
        <v>10002</v>
      </c>
      <c r="B5697" s="112" t="s">
        <v>11323</v>
      </c>
    </row>
    <row r="5698" spans="1:2" ht="15">
      <c r="A5698" s="113" t="s">
        <v>10003</v>
      </c>
      <c r="B5698" s="112" t="s">
        <v>11323</v>
      </c>
    </row>
    <row r="5699" spans="1:2" ht="15">
      <c r="A5699" s="113" t="s">
        <v>10004</v>
      </c>
      <c r="B5699" s="112" t="s">
        <v>11323</v>
      </c>
    </row>
    <row r="5700" spans="1:2" ht="15">
      <c r="A5700" s="113" t="s">
        <v>10005</v>
      </c>
      <c r="B5700" s="112" t="s">
        <v>11323</v>
      </c>
    </row>
    <row r="5701" spans="1:2" ht="15">
      <c r="A5701" s="113" t="s">
        <v>10006</v>
      </c>
      <c r="B5701" s="112" t="s">
        <v>11323</v>
      </c>
    </row>
    <row r="5702" spans="1:2" ht="15">
      <c r="A5702" s="113" t="s">
        <v>10007</v>
      </c>
      <c r="B5702" s="112" t="s">
        <v>11323</v>
      </c>
    </row>
    <row r="5703" spans="1:2" ht="15">
      <c r="A5703" s="113" t="s">
        <v>10008</v>
      </c>
      <c r="B5703" s="112" t="s">
        <v>11323</v>
      </c>
    </row>
    <row r="5704" spans="1:2" ht="15">
      <c r="A5704" s="113" t="s">
        <v>10009</v>
      </c>
      <c r="B5704" s="112" t="s">
        <v>11323</v>
      </c>
    </row>
    <row r="5705" spans="1:2" ht="15">
      <c r="A5705" s="113" t="s">
        <v>10010</v>
      </c>
      <c r="B5705" s="112" t="s">
        <v>11323</v>
      </c>
    </row>
    <row r="5706" spans="1:2" ht="15">
      <c r="A5706" s="113" t="s">
        <v>10011</v>
      </c>
      <c r="B5706" s="112" t="s">
        <v>11323</v>
      </c>
    </row>
    <row r="5707" spans="1:2" ht="15">
      <c r="A5707" s="113" t="s">
        <v>10012</v>
      </c>
      <c r="B5707" s="112" t="s">
        <v>11323</v>
      </c>
    </row>
    <row r="5708" spans="1:2" ht="15">
      <c r="A5708" s="113" t="s">
        <v>10013</v>
      </c>
      <c r="B5708" s="112" t="s">
        <v>11323</v>
      </c>
    </row>
    <row r="5709" spans="1:2" ht="15">
      <c r="A5709" s="113" t="s">
        <v>10014</v>
      </c>
      <c r="B5709" s="112" t="s">
        <v>11323</v>
      </c>
    </row>
    <row r="5710" spans="1:2" ht="15">
      <c r="A5710" s="113" t="s">
        <v>10015</v>
      </c>
      <c r="B5710" s="112" t="s">
        <v>11323</v>
      </c>
    </row>
    <row r="5711" spans="1:2" ht="15">
      <c r="A5711" s="113" t="s">
        <v>10016</v>
      </c>
      <c r="B5711" s="112" t="s">
        <v>11323</v>
      </c>
    </row>
    <row r="5712" spans="1:2" ht="15">
      <c r="A5712" s="113" t="s">
        <v>10017</v>
      </c>
      <c r="B5712" s="112" t="s">
        <v>11323</v>
      </c>
    </row>
    <row r="5713" spans="1:2" ht="15">
      <c r="A5713" s="113" t="s">
        <v>10018</v>
      </c>
      <c r="B5713" s="112" t="s">
        <v>11323</v>
      </c>
    </row>
    <row r="5714" spans="1:2" ht="15">
      <c r="A5714" s="113" t="s">
        <v>10019</v>
      </c>
      <c r="B5714" s="112" t="s">
        <v>11323</v>
      </c>
    </row>
    <row r="5715" spans="1:2" ht="15">
      <c r="A5715" s="113" t="s">
        <v>10020</v>
      </c>
      <c r="B5715" s="112" t="s">
        <v>11323</v>
      </c>
    </row>
    <row r="5716" spans="1:2" ht="15">
      <c r="A5716" s="113" t="s">
        <v>10021</v>
      </c>
      <c r="B5716" s="112" t="s">
        <v>11323</v>
      </c>
    </row>
    <row r="5717" spans="1:2" ht="15">
      <c r="A5717" s="113" t="s">
        <v>10022</v>
      </c>
      <c r="B5717" s="112" t="s">
        <v>11323</v>
      </c>
    </row>
    <row r="5718" spans="1:2" ht="15">
      <c r="A5718" s="113" t="s">
        <v>10023</v>
      </c>
      <c r="B5718" s="112" t="s">
        <v>11323</v>
      </c>
    </row>
    <row r="5719" spans="1:2" ht="15">
      <c r="A5719" s="113" t="s">
        <v>10024</v>
      </c>
      <c r="B5719" s="112" t="s">
        <v>11323</v>
      </c>
    </row>
    <row r="5720" spans="1:2" ht="15">
      <c r="A5720" s="113" t="s">
        <v>10025</v>
      </c>
      <c r="B5720" s="112" t="s">
        <v>11323</v>
      </c>
    </row>
    <row r="5721" spans="1:2" ht="15">
      <c r="A5721" s="113" t="s">
        <v>10026</v>
      </c>
      <c r="B5721" s="112" t="s">
        <v>11323</v>
      </c>
    </row>
    <row r="5722" spans="1:2" ht="15">
      <c r="A5722" s="113" t="s">
        <v>10027</v>
      </c>
      <c r="B5722" s="112" t="s">
        <v>11323</v>
      </c>
    </row>
    <row r="5723" spans="1:2" ht="15">
      <c r="A5723" s="113" t="s">
        <v>10028</v>
      </c>
      <c r="B5723" s="112" t="s">
        <v>11323</v>
      </c>
    </row>
    <row r="5724" spans="1:2" ht="15">
      <c r="A5724" s="113" t="s">
        <v>10029</v>
      </c>
      <c r="B5724" s="112" t="s">
        <v>11323</v>
      </c>
    </row>
    <row r="5725" spans="1:2" ht="15">
      <c r="A5725" s="113" t="s">
        <v>10030</v>
      </c>
      <c r="B5725" s="112" t="s">
        <v>11323</v>
      </c>
    </row>
    <row r="5726" spans="1:2" ht="15">
      <c r="A5726" s="113" t="s">
        <v>10031</v>
      </c>
      <c r="B5726" s="112" t="s">
        <v>11323</v>
      </c>
    </row>
    <row r="5727" spans="1:2" ht="15">
      <c r="A5727" s="113" t="s">
        <v>10032</v>
      </c>
      <c r="B5727" s="112" t="s">
        <v>11323</v>
      </c>
    </row>
    <row r="5728" spans="1:2" ht="15">
      <c r="A5728" s="113" t="s">
        <v>10033</v>
      </c>
      <c r="B5728" s="112" t="s">
        <v>11323</v>
      </c>
    </row>
    <row r="5729" spans="1:2" ht="15">
      <c r="A5729" s="113" t="s">
        <v>10034</v>
      </c>
      <c r="B5729" s="112" t="s">
        <v>11323</v>
      </c>
    </row>
    <row r="5730" spans="1:2" ht="15">
      <c r="A5730" s="113" t="s">
        <v>10035</v>
      </c>
      <c r="B5730" s="112" t="s">
        <v>11323</v>
      </c>
    </row>
    <row r="5731" spans="1:2" ht="15">
      <c r="A5731" s="113" t="s">
        <v>10036</v>
      </c>
      <c r="B5731" s="112" t="s">
        <v>11323</v>
      </c>
    </row>
    <row r="5732" spans="1:2" ht="15">
      <c r="A5732" s="113" t="s">
        <v>10037</v>
      </c>
      <c r="B5732" s="112" t="s">
        <v>11323</v>
      </c>
    </row>
    <row r="5733" spans="1:2" ht="15">
      <c r="A5733" s="113" t="s">
        <v>10038</v>
      </c>
      <c r="B5733" s="112" t="s">
        <v>11323</v>
      </c>
    </row>
    <row r="5734" spans="1:2" ht="15">
      <c r="A5734" s="113" t="s">
        <v>10039</v>
      </c>
      <c r="B5734" s="112" t="s">
        <v>11323</v>
      </c>
    </row>
    <row r="5735" spans="1:2" ht="15">
      <c r="A5735" s="113" t="s">
        <v>10040</v>
      </c>
      <c r="B5735" s="112" t="s">
        <v>11323</v>
      </c>
    </row>
    <row r="5736" spans="1:2" ht="15">
      <c r="A5736" s="113" t="s">
        <v>10041</v>
      </c>
      <c r="B5736" s="112" t="s">
        <v>11323</v>
      </c>
    </row>
    <row r="5737" spans="1:2" ht="15">
      <c r="A5737" s="113" t="s">
        <v>10042</v>
      </c>
      <c r="B5737" s="112" t="s">
        <v>11323</v>
      </c>
    </row>
    <row r="5738" spans="1:2" ht="15">
      <c r="A5738" s="113" t="s">
        <v>10043</v>
      </c>
      <c r="B5738" s="112" t="s">
        <v>11323</v>
      </c>
    </row>
    <row r="5739" spans="1:2" ht="15">
      <c r="A5739" s="113" t="s">
        <v>10044</v>
      </c>
      <c r="B5739" s="112" t="s">
        <v>11323</v>
      </c>
    </row>
    <row r="5740" spans="1:2" ht="15">
      <c r="A5740" s="113" t="s">
        <v>10045</v>
      </c>
      <c r="B5740" s="112" t="s">
        <v>11323</v>
      </c>
    </row>
    <row r="5741" spans="1:2" ht="15">
      <c r="A5741" s="113" t="s">
        <v>10046</v>
      </c>
      <c r="B5741" s="112" t="s">
        <v>11323</v>
      </c>
    </row>
    <row r="5742" spans="1:2" ht="15">
      <c r="A5742" s="113" t="s">
        <v>10047</v>
      </c>
      <c r="B5742" s="112" t="s">
        <v>11323</v>
      </c>
    </row>
    <row r="5743" spans="1:2" ht="15">
      <c r="A5743" s="113" t="s">
        <v>10048</v>
      </c>
      <c r="B5743" s="112" t="s">
        <v>11323</v>
      </c>
    </row>
    <row r="5744" spans="1:2" ht="15">
      <c r="A5744" s="113" t="s">
        <v>10049</v>
      </c>
      <c r="B5744" s="112" t="s">
        <v>11323</v>
      </c>
    </row>
    <row r="5745" spans="1:2" ht="15">
      <c r="A5745" s="113" t="s">
        <v>10050</v>
      </c>
      <c r="B5745" s="112" t="s">
        <v>11323</v>
      </c>
    </row>
    <row r="5746" spans="1:2" ht="15">
      <c r="A5746" s="113" t="s">
        <v>10051</v>
      </c>
      <c r="B5746" s="112" t="s">
        <v>11323</v>
      </c>
    </row>
    <row r="5747" spans="1:2" ht="15">
      <c r="A5747" s="113" t="s">
        <v>10052</v>
      </c>
      <c r="B5747" s="112" t="s">
        <v>11323</v>
      </c>
    </row>
    <row r="5748" spans="1:2" ht="15">
      <c r="A5748" s="113" t="s">
        <v>10053</v>
      </c>
      <c r="B5748" s="112" t="s">
        <v>11323</v>
      </c>
    </row>
    <row r="5749" spans="1:2" ht="15">
      <c r="A5749" s="113" t="s">
        <v>10054</v>
      </c>
      <c r="B5749" s="112" t="s">
        <v>11323</v>
      </c>
    </row>
    <row r="5750" spans="1:2" ht="15">
      <c r="A5750" s="113" t="s">
        <v>10055</v>
      </c>
      <c r="B5750" s="112" t="s">
        <v>11323</v>
      </c>
    </row>
    <row r="5751" spans="1:2" ht="15">
      <c r="A5751" s="113" t="s">
        <v>10056</v>
      </c>
      <c r="B5751" s="112" t="s">
        <v>11323</v>
      </c>
    </row>
    <row r="5752" spans="1:2" ht="15">
      <c r="A5752" s="113" t="s">
        <v>10057</v>
      </c>
      <c r="B5752" s="112" t="s">
        <v>11323</v>
      </c>
    </row>
    <row r="5753" spans="1:2" ht="15">
      <c r="A5753" s="113" t="s">
        <v>10058</v>
      </c>
      <c r="B5753" s="112" t="s">
        <v>11323</v>
      </c>
    </row>
    <row r="5754" spans="1:2" ht="15">
      <c r="A5754" s="113" t="s">
        <v>10059</v>
      </c>
      <c r="B5754" s="112" t="s">
        <v>11323</v>
      </c>
    </row>
    <row r="5755" spans="1:2" ht="15">
      <c r="A5755" s="113" t="s">
        <v>10060</v>
      </c>
      <c r="B5755" s="112" t="s">
        <v>11323</v>
      </c>
    </row>
    <row r="5756" spans="1:2" ht="15">
      <c r="A5756" s="113" t="s">
        <v>10061</v>
      </c>
      <c r="B5756" s="112" t="s">
        <v>11323</v>
      </c>
    </row>
    <row r="5757" spans="1:2" ht="15">
      <c r="A5757" s="113" t="s">
        <v>10062</v>
      </c>
      <c r="B5757" s="112" t="s">
        <v>11323</v>
      </c>
    </row>
    <row r="5758" spans="1:2" ht="15">
      <c r="A5758" s="113" t="s">
        <v>10063</v>
      </c>
      <c r="B5758" s="112" t="s">
        <v>11323</v>
      </c>
    </row>
    <row r="5759" spans="1:2" ht="15">
      <c r="A5759" s="113" t="s">
        <v>10064</v>
      </c>
      <c r="B5759" s="112" t="s">
        <v>11323</v>
      </c>
    </row>
    <row r="5760" spans="1:2" ht="15">
      <c r="A5760" s="113" t="s">
        <v>10065</v>
      </c>
      <c r="B5760" s="112" t="s">
        <v>11323</v>
      </c>
    </row>
    <row r="5761" spans="1:2" ht="15">
      <c r="A5761" s="113" t="s">
        <v>10066</v>
      </c>
      <c r="B5761" s="112" t="s">
        <v>11323</v>
      </c>
    </row>
    <row r="5762" spans="1:2" ht="15">
      <c r="A5762" s="113" t="s">
        <v>10067</v>
      </c>
      <c r="B5762" s="112" t="s">
        <v>11323</v>
      </c>
    </row>
    <row r="5763" spans="1:2" ht="15">
      <c r="A5763" s="113" t="s">
        <v>10068</v>
      </c>
      <c r="B5763" s="112" t="s">
        <v>11323</v>
      </c>
    </row>
    <row r="5764" spans="1:2" ht="15">
      <c r="A5764" s="113" t="s">
        <v>10069</v>
      </c>
      <c r="B5764" s="112" t="s">
        <v>11323</v>
      </c>
    </row>
    <row r="5765" spans="1:2" ht="15">
      <c r="A5765" s="113" t="s">
        <v>10070</v>
      </c>
      <c r="B5765" s="112" t="s">
        <v>11323</v>
      </c>
    </row>
    <row r="5766" spans="1:2" ht="15">
      <c r="A5766" s="113" t="s">
        <v>10071</v>
      </c>
      <c r="B5766" s="112" t="s">
        <v>11323</v>
      </c>
    </row>
    <row r="5767" spans="1:2" ht="15">
      <c r="A5767" s="113" t="s">
        <v>10072</v>
      </c>
      <c r="B5767" s="112" t="s">
        <v>11323</v>
      </c>
    </row>
    <row r="5768" spans="1:2" ht="15">
      <c r="A5768" s="113" t="s">
        <v>10073</v>
      </c>
      <c r="B5768" s="112" t="s">
        <v>11323</v>
      </c>
    </row>
    <row r="5769" spans="1:2" ht="15">
      <c r="A5769" s="113" t="s">
        <v>10074</v>
      </c>
      <c r="B5769" s="112" t="s">
        <v>11323</v>
      </c>
    </row>
    <row r="5770" spans="1:2" ht="15">
      <c r="A5770" s="113" t="s">
        <v>10075</v>
      </c>
      <c r="B5770" s="112" t="s">
        <v>11323</v>
      </c>
    </row>
    <row r="5771" spans="1:2" ht="15">
      <c r="A5771" s="113" t="s">
        <v>10076</v>
      </c>
      <c r="B5771" s="112" t="s">
        <v>11323</v>
      </c>
    </row>
    <row r="5772" spans="1:2" ht="15">
      <c r="A5772" s="113" t="s">
        <v>10077</v>
      </c>
      <c r="B5772" s="112" t="s">
        <v>11323</v>
      </c>
    </row>
    <row r="5773" spans="1:2" ht="15">
      <c r="A5773" s="113" t="s">
        <v>10078</v>
      </c>
      <c r="B5773" s="112" t="s">
        <v>11323</v>
      </c>
    </row>
    <row r="5774" spans="1:2" ht="15">
      <c r="A5774" s="113" t="s">
        <v>10079</v>
      </c>
      <c r="B5774" s="112" t="s">
        <v>11323</v>
      </c>
    </row>
    <row r="5775" spans="1:2" ht="15">
      <c r="A5775" s="113" t="s">
        <v>10080</v>
      </c>
      <c r="B5775" s="112" t="s">
        <v>11323</v>
      </c>
    </row>
    <row r="5776" spans="1:2" ht="15">
      <c r="A5776" s="113" t="s">
        <v>10081</v>
      </c>
      <c r="B5776" s="112" t="s">
        <v>11323</v>
      </c>
    </row>
    <row r="5777" spans="1:2" ht="15">
      <c r="A5777" s="113" t="s">
        <v>10082</v>
      </c>
      <c r="B5777" s="112" t="s">
        <v>11323</v>
      </c>
    </row>
    <row r="5778" spans="1:2" ht="15">
      <c r="A5778" s="113" t="s">
        <v>10083</v>
      </c>
      <c r="B5778" s="112" t="s">
        <v>11323</v>
      </c>
    </row>
    <row r="5779" spans="1:2" ht="15">
      <c r="A5779" s="113" t="s">
        <v>10084</v>
      </c>
      <c r="B5779" s="112" t="s">
        <v>11323</v>
      </c>
    </row>
    <row r="5780" spans="1:2" ht="15">
      <c r="A5780" s="113" t="s">
        <v>10085</v>
      </c>
      <c r="B5780" s="112" t="s">
        <v>11323</v>
      </c>
    </row>
    <row r="5781" spans="1:2" ht="15">
      <c r="A5781" s="113" t="s">
        <v>10086</v>
      </c>
      <c r="B5781" s="112" t="s">
        <v>11323</v>
      </c>
    </row>
    <row r="5782" spans="1:2" ht="15">
      <c r="A5782" s="113" t="s">
        <v>10087</v>
      </c>
      <c r="B5782" s="112" t="s">
        <v>11323</v>
      </c>
    </row>
    <row r="5783" spans="1:2" ht="15">
      <c r="A5783" s="113" t="s">
        <v>10088</v>
      </c>
      <c r="B5783" s="112" t="s">
        <v>11323</v>
      </c>
    </row>
    <row r="5784" spans="1:2" ht="15">
      <c r="A5784" s="113" t="s">
        <v>10089</v>
      </c>
      <c r="B5784" s="112" t="s">
        <v>11323</v>
      </c>
    </row>
    <row r="5785" spans="1:2" ht="15">
      <c r="A5785" s="113" t="s">
        <v>10090</v>
      </c>
      <c r="B5785" s="112" t="s">
        <v>11323</v>
      </c>
    </row>
    <row r="5786" spans="1:2" ht="15">
      <c r="A5786" s="113" t="s">
        <v>10091</v>
      </c>
      <c r="B5786" s="112" t="s">
        <v>11323</v>
      </c>
    </row>
    <row r="5787" spans="1:2" ht="15">
      <c r="A5787" s="113" t="s">
        <v>10092</v>
      </c>
      <c r="B5787" s="112" t="s">
        <v>11323</v>
      </c>
    </row>
    <row r="5788" spans="1:2" ht="15">
      <c r="A5788" s="113" t="s">
        <v>10093</v>
      </c>
      <c r="B5788" s="112" t="s">
        <v>11323</v>
      </c>
    </row>
    <row r="5789" spans="1:2" ht="15">
      <c r="A5789" s="113" t="s">
        <v>10094</v>
      </c>
      <c r="B5789" s="112" t="s">
        <v>11323</v>
      </c>
    </row>
    <row r="5790" spans="1:2" ht="15">
      <c r="A5790" s="113" t="s">
        <v>10095</v>
      </c>
      <c r="B5790" s="112" t="s">
        <v>11323</v>
      </c>
    </row>
    <row r="5791" spans="1:2" ht="15">
      <c r="A5791" s="113" t="s">
        <v>10096</v>
      </c>
      <c r="B5791" s="112" t="s">
        <v>11323</v>
      </c>
    </row>
    <row r="5792" spans="1:2" ht="15">
      <c r="A5792" s="113" t="s">
        <v>10097</v>
      </c>
      <c r="B5792" s="112" t="s">
        <v>11323</v>
      </c>
    </row>
    <row r="5793" spans="1:2" ht="15">
      <c r="A5793" s="113" t="s">
        <v>10098</v>
      </c>
      <c r="B5793" s="112" t="s">
        <v>11323</v>
      </c>
    </row>
    <row r="5794" spans="1:2" ht="15">
      <c r="A5794" s="113" t="s">
        <v>10099</v>
      </c>
      <c r="B5794" s="112" t="s">
        <v>11323</v>
      </c>
    </row>
    <row r="5795" spans="1:2" ht="15">
      <c r="A5795" s="113" t="s">
        <v>10100</v>
      </c>
      <c r="B5795" s="112" t="s">
        <v>11323</v>
      </c>
    </row>
    <row r="5796" spans="1:2" ht="15">
      <c r="A5796" s="113" t="s">
        <v>10101</v>
      </c>
      <c r="B5796" s="112" t="s">
        <v>11323</v>
      </c>
    </row>
    <row r="5797" spans="1:2" ht="15">
      <c r="A5797" s="113" t="s">
        <v>10102</v>
      </c>
      <c r="B5797" s="112" t="s">
        <v>11323</v>
      </c>
    </row>
    <row r="5798" spans="1:2" ht="15">
      <c r="A5798" s="113" t="s">
        <v>10103</v>
      </c>
      <c r="B5798" s="112" t="s">
        <v>11323</v>
      </c>
    </row>
    <row r="5799" spans="1:2" ht="15">
      <c r="A5799" s="113" t="s">
        <v>10104</v>
      </c>
      <c r="B5799" s="112" t="s">
        <v>11323</v>
      </c>
    </row>
    <row r="5800" spans="1:2" ht="15">
      <c r="A5800" s="113" t="s">
        <v>10105</v>
      </c>
      <c r="B5800" s="112" t="s">
        <v>11323</v>
      </c>
    </row>
    <row r="5801" spans="1:2" ht="15">
      <c r="A5801" s="113" t="s">
        <v>10106</v>
      </c>
      <c r="B5801" s="112" t="s">
        <v>11323</v>
      </c>
    </row>
    <row r="5802" spans="1:2" ht="15">
      <c r="A5802" s="113" t="s">
        <v>10107</v>
      </c>
      <c r="B5802" s="112" t="s">
        <v>11323</v>
      </c>
    </row>
    <row r="5803" spans="1:2" ht="15">
      <c r="A5803" s="113" t="s">
        <v>10108</v>
      </c>
      <c r="B5803" s="112" t="s">
        <v>11323</v>
      </c>
    </row>
    <row r="5804" spans="1:2" ht="15">
      <c r="A5804" s="113" t="s">
        <v>10109</v>
      </c>
      <c r="B5804" s="112" t="s">
        <v>11323</v>
      </c>
    </row>
    <row r="5805" spans="1:2" ht="15">
      <c r="A5805" s="113" t="s">
        <v>10110</v>
      </c>
      <c r="B5805" s="112" t="s">
        <v>11323</v>
      </c>
    </row>
    <row r="5806" spans="1:2" ht="15">
      <c r="A5806" s="113" t="s">
        <v>10111</v>
      </c>
      <c r="B5806" s="112" t="s">
        <v>11323</v>
      </c>
    </row>
    <row r="5807" spans="1:2" ht="15">
      <c r="A5807" s="113" t="s">
        <v>10112</v>
      </c>
      <c r="B5807" s="112" t="s">
        <v>11323</v>
      </c>
    </row>
    <row r="5808" spans="1:2" ht="15">
      <c r="A5808" s="113" t="s">
        <v>10113</v>
      </c>
      <c r="B5808" s="112" t="s">
        <v>11323</v>
      </c>
    </row>
    <row r="5809" spans="1:2" ht="15">
      <c r="A5809" s="113" t="s">
        <v>10114</v>
      </c>
      <c r="B5809" s="112" t="s">
        <v>11323</v>
      </c>
    </row>
    <row r="5810" spans="1:2" ht="15">
      <c r="A5810" s="113" t="s">
        <v>10115</v>
      </c>
      <c r="B5810" s="112" t="s">
        <v>11323</v>
      </c>
    </row>
    <row r="5811" spans="1:2" ht="15">
      <c r="A5811" s="113" t="s">
        <v>10116</v>
      </c>
      <c r="B5811" s="112" t="s">
        <v>11323</v>
      </c>
    </row>
    <row r="5812" spans="1:2" ht="15">
      <c r="A5812" s="113" t="s">
        <v>10117</v>
      </c>
      <c r="B5812" s="112" t="s">
        <v>11323</v>
      </c>
    </row>
    <row r="5813" spans="1:2" ht="15">
      <c r="A5813" s="113" t="s">
        <v>10118</v>
      </c>
      <c r="B5813" s="112" t="s">
        <v>11323</v>
      </c>
    </row>
    <row r="5814" spans="1:2" ht="15">
      <c r="A5814" s="113" t="s">
        <v>10119</v>
      </c>
      <c r="B5814" s="112" t="s">
        <v>11323</v>
      </c>
    </row>
    <row r="5815" spans="1:2" ht="15">
      <c r="A5815" s="113" t="s">
        <v>10120</v>
      </c>
      <c r="B5815" s="112" t="s">
        <v>11323</v>
      </c>
    </row>
    <row r="5816" spans="1:2" ht="15">
      <c r="A5816" s="113" t="s">
        <v>10121</v>
      </c>
      <c r="B5816" s="112" t="s">
        <v>11323</v>
      </c>
    </row>
    <row r="5817" spans="1:2" ht="15">
      <c r="A5817" s="113" t="s">
        <v>10122</v>
      </c>
      <c r="B5817" s="112" t="s">
        <v>11323</v>
      </c>
    </row>
    <row r="5818" spans="1:2" ht="15">
      <c r="A5818" s="113" t="s">
        <v>10123</v>
      </c>
      <c r="B5818" s="112" t="s">
        <v>11323</v>
      </c>
    </row>
    <row r="5819" spans="1:2" ht="15">
      <c r="A5819" s="113" t="s">
        <v>10124</v>
      </c>
      <c r="B5819" s="112" t="s">
        <v>11323</v>
      </c>
    </row>
    <row r="5820" spans="1:2" ht="15">
      <c r="A5820" s="113" t="s">
        <v>10125</v>
      </c>
      <c r="B5820" s="112" t="s">
        <v>11323</v>
      </c>
    </row>
    <row r="5821" spans="1:2" ht="15">
      <c r="A5821" s="113" t="s">
        <v>10126</v>
      </c>
      <c r="B5821" s="112" t="s">
        <v>11323</v>
      </c>
    </row>
    <row r="5822" spans="1:2" ht="15">
      <c r="A5822" s="113" t="s">
        <v>10127</v>
      </c>
      <c r="B5822" s="112" t="s">
        <v>11323</v>
      </c>
    </row>
    <row r="5823" spans="1:2" ht="15">
      <c r="A5823" s="113" t="s">
        <v>10128</v>
      </c>
      <c r="B5823" s="112" t="s">
        <v>11323</v>
      </c>
    </row>
    <row r="5824" spans="1:2" ht="15">
      <c r="A5824" s="113" t="s">
        <v>10129</v>
      </c>
      <c r="B5824" s="112" t="s">
        <v>11323</v>
      </c>
    </row>
    <row r="5825" spans="1:2" ht="15">
      <c r="A5825" s="113" t="s">
        <v>10130</v>
      </c>
      <c r="B5825" s="112" t="s">
        <v>11323</v>
      </c>
    </row>
    <row r="5826" spans="1:2" ht="15">
      <c r="A5826" s="113" t="s">
        <v>10131</v>
      </c>
      <c r="B5826" s="112" t="s">
        <v>11323</v>
      </c>
    </row>
    <row r="5827" spans="1:2" ht="15">
      <c r="A5827" s="113" t="s">
        <v>10132</v>
      </c>
      <c r="B5827" s="112" t="s">
        <v>11323</v>
      </c>
    </row>
    <row r="5828" spans="1:2" ht="15">
      <c r="A5828" s="113" t="s">
        <v>10133</v>
      </c>
      <c r="B5828" s="112" t="s">
        <v>11323</v>
      </c>
    </row>
    <row r="5829" spans="1:2" ht="15">
      <c r="A5829" s="113" t="s">
        <v>10134</v>
      </c>
      <c r="B5829" s="112" t="s">
        <v>11323</v>
      </c>
    </row>
    <row r="5830" spans="1:2" ht="15">
      <c r="A5830" s="113" t="s">
        <v>10135</v>
      </c>
      <c r="B5830" s="112" t="s">
        <v>11323</v>
      </c>
    </row>
    <row r="5831" spans="1:2" ht="15">
      <c r="A5831" s="113" t="s">
        <v>10136</v>
      </c>
      <c r="B5831" s="112" t="s">
        <v>11323</v>
      </c>
    </row>
    <row r="5832" spans="1:2" ht="15">
      <c r="A5832" s="113" t="s">
        <v>10137</v>
      </c>
      <c r="B5832" s="112" t="s">
        <v>11323</v>
      </c>
    </row>
    <row r="5833" spans="1:2" ht="15">
      <c r="A5833" s="113" t="s">
        <v>10138</v>
      </c>
      <c r="B5833" s="112" t="s">
        <v>11323</v>
      </c>
    </row>
    <row r="5834" spans="1:2" ht="15">
      <c r="A5834" s="113" t="s">
        <v>10139</v>
      </c>
      <c r="B5834" s="112" t="s">
        <v>11323</v>
      </c>
    </row>
    <row r="5835" spans="1:2" ht="15">
      <c r="A5835" s="113" t="s">
        <v>10140</v>
      </c>
      <c r="B5835" s="112" t="s">
        <v>11323</v>
      </c>
    </row>
    <row r="5836" spans="1:2" ht="15">
      <c r="A5836" s="113" t="s">
        <v>10141</v>
      </c>
      <c r="B5836" s="112" t="s">
        <v>11323</v>
      </c>
    </row>
    <row r="5837" spans="1:2" ht="15">
      <c r="A5837" s="113" t="s">
        <v>10142</v>
      </c>
      <c r="B5837" s="112" t="s">
        <v>11323</v>
      </c>
    </row>
    <row r="5838" spans="1:2" ht="15">
      <c r="A5838" s="113" t="s">
        <v>10143</v>
      </c>
      <c r="B5838" s="112" t="s">
        <v>11323</v>
      </c>
    </row>
    <row r="5839" spans="1:2" ht="15">
      <c r="A5839" s="113" t="s">
        <v>10144</v>
      </c>
      <c r="B5839" s="112" t="s">
        <v>11323</v>
      </c>
    </row>
    <row r="5840" spans="1:2" ht="15">
      <c r="A5840" s="113" t="s">
        <v>10145</v>
      </c>
      <c r="B5840" s="112" t="s">
        <v>11323</v>
      </c>
    </row>
    <row r="5841" spans="1:2" ht="15">
      <c r="A5841" s="113" t="s">
        <v>10146</v>
      </c>
      <c r="B5841" s="112" t="s">
        <v>11323</v>
      </c>
    </row>
    <row r="5842" spans="1:2" ht="15">
      <c r="A5842" s="113" t="s">
        <v>10147</v>
      </c>
      <c r="B5842" s="112" t="s">
        <v>11323</v>
      </c>
    </row>
    <row r="5843" spans="1:2" ht="15">
      <c r="A5843" s="113" t="s">
        <v>10148</v>
      </c>
      <c r="B5843" s="112" t="s">
        <v>11323</v>
      </c>
    </row>
    <row r="5844" spans="1:2" ht="15">
      <c r="A5844" s="113" t="s">
        <v>10149</v>
      </c>
      <c r="B5844" s="112" t="s">
        <v>11323</v>
      </c>
    </row>
    <row r="5845" spans="1:2" ht="15">
      <c r="A5845" s="113" t="s">
        <v>10150</v>
      </c>
      <c r="B5845" s="112" t="s">
        <v>11323</v>
      </c>
    </row>
    <row r="5846" spans="1:2" ht="15">
      <c r="A5846" s="113" t="s">
        <v>10151</v>
      </c>
      <c r="B5846" s="112" t="s">
        <v>11323</v>
      </c>
    </row>
    <row r="5847" spans="1:2" ht="15">
      <c r="A5847" s="113" t="s">
        <v>10152</v>
      </c>
      <c r="B5847" s="112" t="s">
        <v>11323</v>
      </c>
    </row>
    <row r="5848" spans="1:2" ht="15">
      <c r="A5848" s="113" t="s">
        <v>10153</v>
      </c>
      <c r="B5848" s="112" t="s">
        <v>11323</v>
      </c>
    </row>
    <row r="5849" spans="1:2" ht="15">
      <c r="A5849" s="113" t="s">
        <v>10154</v>
      </c>
      <c r="B5849" s="112" t="s">
        <v>11323</v>
      </c>
    </row>
    <row r="5850" spans="1:2" ht="15">
      <c r="A5850" s="113" t="s">
        <v>10155</v>
      </c>
      <c r="B5850" s="112" t="s">
        <v>11323</v>
      </c>
    </row>
    <row r="5851" spans="1:2" ht="15">
      <c r="A5851" s="113" t="s">
        <v>10156</v>
      </c>
      <c r="B5851" s="112" t="s">
        <v>11323</v>
      </c>
    </row>
    <row r="5852" spans="1:2" ht="15">
      <c r="A5852" s="113" t="s">
        <v>10157</v>
      </c>
      <c r="B5852" s="112" t="s">
        <v>11323</v>
      </c>
    </row>
    <row r="5853" spans="1:2" ht="15">
      <c r="A5853" s="113" t="s">
        <v>10158</v>
      </c>
      <c r="B5853" s="112" t="s">
        <v>11323</v>
      </c>
    </row>
    <row r="5854" spans="1:2" ht="15">
      <c r="A5854" s="113" t="s">
        <v>10159</v>
      </c>
      <c r="B5854" s="112" t="s">
        <v>11323</v>
      </c>
    </row>
    <row r="5855" spans="1:2" ht="15">
      <c r="A5855" s="113" t="s">
        <v>10160</v>
      </c>
      <c r="B5855" s="112" t="s">
        <v>11323</v>
      </c>
    </row>
    <row r="5856" spans="1:2" ht="15">
      <c r="A5856" s="113" t="s">
        <v>10161</v>
      </c>
      <c r="B5856" s="112" t="s">
        <v>11323</v>
      </c>
    </row>
    <row r="5857" spans="1:2" ht="15">
      <c r="A5857" s="113" t="s">
        <v>10162</v>
      </c>
      <c r="B5857" s="112" t="s">
        <v>11323</v>
      </c>
    </row>
    <row r="5858" spans="1:2" ht="15">
      <c r="A5858" s="113" t="s">
        <v>10163</v>
      </c>
      <c r="B5858" s="112" t="s">
        <v>11323</v>
      </c>
    </row>
    <row r="5859" spans="1:2" ht="15">
      <c r="A5859" s="113" t="s">
        <v>10164</v>
      </c>
      <c r="B5859" s="112" t="s">
        <v>11323</v>
      </c>
    </row>
    <row r="5860" spans="1:2" ht="15">
      <c r="A5860" s="113" t="s">
        <v>10165</v>
      </c>
      <c r="B5860" s="112" t="s">
        <v>11323</v>
      </c>
    </row>
    <row r="5861" spans="1:2" ht="15">
      <c r="A5861" s="113" t="s">
        <v>10166</v>
      </c>
      <c r="B5861" s="112" t="s">
        <v>11323</v>
      </c>
    </row>
    <row r="5862" spans="1:2" ht="15">
      <c r="A5862" s="113" t="s">
        <v>10167</v>
      </c>
      <c r="B5862" s="112" t="s">
        <v>11323</v>
      </c>
    </row>
    <row r="5863" spans="1:2" ht="15">
      <c r="A5863" s="113" t="s">
        <v>10168</v>
      </c>
      <c r="B5863" s="112" t="s">
        <v>11323</v>
      </c>
    </row>
    <row r="5864" spans="1:2" ht="15">
      <c r="A5864" s="113" t="s">
        <v>10169</v>
      </c>
      <c r="B5864" s="112" t="s">
        <v>11323</v>
      </c>
    </row>
    <row r="5865" spans="1:2" ht="15">
      <c r="A5865" s="113" t="s">
        <v>10170</v>
      </c>
      <c r="B5865" s="112" t="s">
        <v>11323</v>
      </c>
    </row>
    <row r="5866" spans="1:2" ht="15">
      <c r="A5866" s="113" t="s">
        <v>10171</v>
      </c>
      <c r="B5866" s="112" t="s">
        <v>11323</v>
      </c>
    </row>
    <row r="5867" spans="1:2" ht="15">
      <c r="A5867" s="113" t="s">
        <v>10172</v>
      </c>
      <c r="B5867" s="112" t="s">
        <v>11323</v>
      </c>
    </row>
    <row r="5868" spans="1:2" ht="15">
      <c r="A5868" s="113" t="s">
        <v>10173</v>
      </c>
      <c r="B5868" s="112" t="s">
        <v>11323</v>
      </c>
    </row>
    <row r="5869" spans="1:2" ht="15">
      <c r="A5869" s="113" t="s">
        <v>10174</v>
      </c>
      <c r="B5869" s="112" t="s">
        <v>11323</v>
      </c>
    </row>
    <row r="5870" spans="1:2" ht="15">
      <c r="A5870" s="113" t="s">
        <v>10175</v>
      </c>
      <c r="B5870" s="112" t="s">
        <v>11323</v>
      </c>
    </row>
    <row r="5871" spans="1:2" ht="15">
      <c r="A5871" s="113" t="s">
        <v>10176</v>
      </c>
      <c r="B5871" s="112" t="s">
        <v>11323</v>
      </c>
    </row>
    <row r="5872" spans="1:2" ht="15">
      <c r="A5872" s="113" t="s">
        <v>10177</v>
      </c>
      <c r="B5872" s="112" t="s">
        <v>11323</v>
      </c>
    </row>
    <row r="5873" spans="1:2" ht="15">
      <c r="A5873" s="113" t="s">
        <v>10178</v>
      </c>
      <c r="B5873" s="112" t="s">
        <v>11323</v>
      </c>
    </row>
    <row r="5874" spans="1:2" ht="15">
      <c r="A5874" s="113" t="s">
        <v>10179</v>
      </c>
      <c r="B5874" s="112" t="s">
        <v>11323</v>
      </c>
    </row>
    <row r="5875" spans="1:2" ht="15">
      <c r="A5875" s="113" t="s">
        <v>10180</v>
      </c>
      <c r="B5875" s="112" t="s">
        <v>11323</v>
      </c>
    </row>
    <row r="5876" spans="1:2" ht="15">
      <c r="A5876" s="113" t="s">
        <v>10181</v>
      </c>
      <c r="B5876" s="112" t="s">
        <v>11323</v>
      </c>
    </row>
    <row r="5877" spans="1:2" ht="15">
      <c r="A5877" s="113" t="s">
        <v>10182</v>
      </c>
      <c r="B5877" s="112" t="s">
        <v>11323</v>
      </c>
    </row>
    <row r="5878" spans="1:2" ht="15">
      <c r="A5878" s="113" t="s">
        <v>10183</v>
      </c>
      <c r="B5878" s="112" t="s">
        <v>11323</v>
      </c>
    </row>
    <row r="5879" spans="1:2" ht="15">
      <c r="A5879" s="113" t="s">
        <v>10184</v>
      </c>
      <c r="B5879" s="112" t="s">
        <v>11323</v>
      </c>
    </row>
    <row r="5880" spans="1:2" ht="15">
      <c r="A5880" s="113" t="s">
        <v>10185</v>
      </c>
      <c r="B5880" s="112" t="s">
        <v>11323</v>
      </c>
    </row>
    <row r="5881" spans="1:2" ht="15">
      <c r="A5881" s="113" t="s">
        <v>10186</v>
      </c>
      <c r="B5881" s="112" t="s">
        <v>11323</v>
      </c>
    </row>
    <row r="5882" spans="1:2" ht="15">
      <c r="A5882" s="113" t="s">
        <v>10187</v>
      </c>
      <c r="B5882" s="112" t="s">
        <v>11323</v>
      </c>
    </row>
    <row r="5883" spans="1:2" ht="15">
      <c r="A5883" s="113" t="s">
        <v>10188</v>
      </c>
      <c r="B5883" s="112" t="s">
        <v>11323</v>
      </c>
    </row>
    <row r="5884" spans="1:2" ht="15">
      <c r="A5884" s="113" t="s">
        <v>10189</v>
      </c>
      <c r="B5884" s="112" t="s">
        <v>11323</v>
      </c>
    </row>
    <row r="5885" spans="1:2" ht="15">
      <c r="A5885" s="113" t="s">
        <v>10190</v>
      </c>
      <c r="B5885" s="112" t="s">
        <v>11323</v>
      </c>
    </row>
    <row r="5886" spans="1:2" ht="15">
      <c r="A5886" s="113" t="s">
        <v>10191</v>
      </c>
      <c r="B5886" s="112" t="s">
        <v>11323</v>
      </c>
    </row>
    <row r="5887" spans="1:2" ht="15">
      <c r="A5887" s="113" t="s">
        <v>10192</v>
      </c>
      <c r="B5887" s="112" t="s">
        <v>11323</v>
      </c>
    </row>
    <row r="5888" spans="1:2" ht="15">
      <c r="A5888" s="113" t="s">
        <v>10193</v>
      </c>
      <c r="B5888" s="112" t="s">
        <v>11323</v>
      </c>
    </row>
    <row r="5889" spans="1:2" ht="15">
      <c r="A5889" s="113" t="s">
        <v>10194</v>
      </c>
      <c r="B5889" s="112" t="s">
        <v>11323</v>
      </c>
    </row>
    <row r="5890" spans="1:2" ht="15">
      <c r="A5890" s="113" t="s">
        <v>10195</v>
      </c>
      <c r="B5890" s="112" t="s">
        <v>11323</v>
      </c>
    </row>
    <row r="5891" spans="1:2" ht="15">
      <c r="A5891" s="113" t="s">
        <v>10196</v>
      </c>
      <c r="B5891" s="112" t="s">
        <v>11323</v>
      </c>
    </row>
    <row r="5892" spans="1:2" ht="15">
      <c r="A5892" s="113" t="s">
        <v>10197</v>
      </c>
      <c r="B5892" s="112" t="s">
        <v>11323</v>
      </c>
    </row>
    <row r="5893" spans="1:2" ht="15">
      <c r="A5893" s="113" t="s">
        <v>10198</v>
      </c>
      <c r="B5893" s="112" t="s">
        <v>11323</v>
      </c>
    </row>
    <row r="5894" spans="1:2" ht="15">
      <c r="A5894" s="113" t="s">
        <v>10199</v>
      </c>
      <c r="B5894" s="112" t="s">
        <v>11323</v>
      </c>
    </row>
    <row r="5895" spans="1:2" ht="15">
      <c r="A5895" s="113" t="s">
        <v>10200</v>
      </c>
      <c r="B5895" s="112" t="s">
        <v>11323</v>
      </c>
    </row>
    <row r="5896" spans="1:2" ht="15">
      <c r="A5896" s="113" t="s">
        <v>10201</v>
      </c>
      <c r="B5896" s="112" t="s">
        <v>11323</v>
      </c>
    </row>
    <row r="5897" spans="1:2" ht="15">
      <c r="A5897" s="113" t="s">
        <v>10202</v>
      </c>
      <c r="B5897" s="112" t="s">
        <v>11323</v>
      </c>
    </row>
    <row r="5898" spans="1:2" ht="15">
      <c r="A5898" s="113" t="s">
        <v>10203</v>
      </c>
      <c r="B5898" s="112" t="s">
        <v>11323</v>
      </c>
    </row>
    <row r="5899" spans="1:2" ht="15">
      <c r="A5899" s="113" t="s">
        <v>10204</v>
      </c>
      <c r="B5899" s="112" t="s">
        <v>11323</v>
      </c>
    </row>
    <row r="5900" spans="1:2" ht="15">
      <c r="A5900" s="113" t="s">
        <v>10205</v>
      </c>
      <c r="B5900" s="112" t="s">
        <v>11323</v>
      </c>
    </row>
    <row r="5901" spans="1:2" ht="15">
      <c r="A5901" s="113" t="s">
        <v>10206</v>
      </c>
      <c r="B5901" s="112" t="s">
        <v>11323</v>
      </c>
    </row>
    <row r="5902" spans="1:2" ht="15">
      <c r="A5902" s="113" t="s">
        <v>10207</v>
      </c>
      <c r="B5902" s="112" t="s">
        <v>11323</v>
      </c>
    </row>
    <row r="5903" spans="1:2" ht="15">
      <c r="A5903" s="113" t="s">
        <v>10208</v>
      </c>
      <c r="B5903" s="112" t="s">
        <v>11323</v>
      </c>
    </row>
    <row r="5904" spans="1:2" ht="15">
      <c r="A5904" s="113" t="s">
        <v>10209</v>
      </c>
      <c r="B5904" s="112" t="s">
        <v>11323</v>
      </c>
    </row>
    <row r="5905" spans="1:2" ht="15">
      <c r="A5905" s="113" t="s">
        <v>10210</v>
      </c>
      <c r="B5905" s="112" t="s">
        <v>11323</v>
      </c>
    </row>
    <row r="5906" spans="1:2" ht="15">
      <c r="A5906" s="113" t="s">
        <v>10211</v>
      </c>
      <c r="B5906" s="112" t="s">
        <v>11323</v>
      </c>
    </row>
    <row r="5907" spans="1:2" ht="15">
      <c r="A5907" s="113" t="s">
        <v>10212</v>
      </c>
      <c r="B5907" s="112" t="s">
        <v>11323</v>
      </c>
    </row>
    <row r="5908" spans="1:2" ht="15">
      <c r="A5908" s="113" t="s">
        <v>10213</v>
      </c>
      <c r="B5908" s="112" t="s">
        <v>11323</v>
      </c>
    </row>
    <row r="5909" spans="1:2" ht="15">
      <c r="A5909" s="113" t="s">
        <v>10214</v>
      </c>
      <c r="B5909" s="112" t="s">
        <v>11323</v>
      </c>
    </row>
    <row r="5910" spans="1:2" ht="15">
      <c r="A5910" s="113" t="s">
        <v>10215</v>
      </c>
      <c r="B5910" s="112" t="s">
        <v>11323</v>
      </c>
    </row>
    <row r="5911" spans="1:2" ht="15">
      <c r="A5911" s="113" t="s">
        <v>10216</v>
      </c>
      <c r="B5911" s="112" t="s">
        <v>11323</v>
      </c>
    </row>
    <row r="5912" spans="1:2" ht="15">
      <c r="A5912" s="113" t="s">
        <v>10217</v>
      </c>
      <c r="B5912" s="112" t="s">
        <v>11323</v>
      </c>
    </row>
    <row r="5913" spans="1:2" ht="15">
      <c r="A5913" s="113" t="s">
        <v>10218</v>
      </c>
      <c r="B5913" s="112" t="s">
        <v>11323</v>
      </c>
    </row>
    <row r="5914" spans="1:2" ht="15">
      <c r="A5914" s="113" t="s">
        <v>10219</v>
      </c>
      <c r="B5914" s="112" t="s">
        <v>11323</v>
      </c>
    </row>
    <row r="5915" spans="1:2" ht="15">
      <c r="A5915" s="113" t="s">
        <v>10220</v>
      </c>
      <c r="B5915" s="112" t="s">
        <v>11323</v>
      </c>
    </row>
    <row r="5916" spans="1:2" ht="15">
      <c r="A5916" s="113" t="s">
        <v>10221</v>
      </c>
      <c r="B5916" s="112" t="s">
        <v>11323</v>
      </c>
    </row>
    <row r="5917" spans="1:2" ht="15">
      <c r="A5917" s="113" t="s">
        <v>10222</v>
      </c>
      <c r="B5917" s="112" t="s">
        <v>11323</v>
      </c>
    </row>
    <row r="5918" spans="1:2" ht="15">
      <c r="A5918" s="113" t="s">
        <v>10223</v>
      </c>
      <c r="B5918" s="112" t="s">
        <v>11323</v>
      </c>
    </row>
    <row r="5919" spans="1:2" ht="15">
      <c r="A5919" s="113" t="s">
        <v>10224</v>
      </c>
      <c r="B5919" s="112" t="s">
        <v>11323</v>
      </c>
    </row>
    <row r="5920" spans="1:2" ht="15">
      <c r="A5920" s="113" t="s">
        <v>10225</v>
      </c>
      <c r="B5920" s="112" t="s">
        <v>11323</v>
      </c>
    </row>
    <row r="5921" spans="1:2" ht="15">
      <c r="A5921" s="113" t="s">
        <v>10226</v>
      </c>
      <c r="B5921" s="112" t="s">
        <v>11323</v>
      </c>
    </row>
    <row r="5922" spans="1:2" ht="15">
      <c r="A5922" s="113" t="s">
        <v>10227</v>
      </c>
      <c r="B5922" s="112" t="s">
        <v>11323</v>
      </c>
    </row>
    <row r="5923" spans="1:2" ht="15">
      <c r="A5923" s="113" t="s">
        <v>10228</v>
      </c>
      <c r="B5923" s="112" t="s">
        <v>11323</v>
      </c>
    </row>
    <row r="5924" spans="1:2" ht="15">
      <c r="A5924" s="113" t="s">
        <v>10229</v>
      </c>
      <c r="B5924" s="112" t="s">
        <v>11323</v>
      </c>
    </row>
    <row r="5925" spans="1:2" ht="15">
      <c r="A5925" s="113" t="s">
        <v>10230</v>
      </c>
      <c r="B5925" s="112" t="s">
        <v>11323</v>
      </c>
    </row>
    <row r="5926" spans="1:2" ht="15">
      <c r="A5926" s="113" t="s">
        <v>10231</v>
      </c>
      <c r="B5926" s="112" t="s">
        <v>11323</v>
      </c>
    </row>
    <row r="5927" spans="1:2" ht="15">
      <c r="A5927" s="113" t="s">
        <v>10232</v>
      </c>
      <c r="B5927" s="112" t="s">
        <v>11323</v>
      </c>
    </row>
    <row r="5928" spans="1:2" ht="15">
      <c r="A5928" s="113" t="s">
        <v>10233</v>
      </c>
      <c r="B5928" s="112" t="s">
        <v>11323</v>
      </c>
    </row>
    <row r="5929" spans="1:2" ht="15">
      <c r="A5929" s="113" t="s">
        <v>10234</v>
      </c>
      <c r="B5929" s="112" t="s">
        <v>11323</v>
      </c>
    </row>
    <row r="5930" spans="1:2" ht="15">
      <c r="A5930" s="113" t="s">
        <v>10235</v>
      </c>
      <c r="B5930" s="112" t="s">
        <v>11323</v>
      </c>
    </row>
    <row r="5931" spans="1:2" ht="15">
      <c r="A5931" s="113" t="s">
        <v>10236</v>
      </c>
      <c r="B5931" s="112" t="s">
        <v>11323</v>
      </c>
    </row>
    <row r="5932" spans="1:2" ht="15">
      <c r="A5932" s="113" t="s">
        <v>10237</v>
      </c>
      <c r="B5932" s="112" t="s">
        <v>11323</v>
      </c>
    </row>
    <row r="5933" spans="1:2" ht="15">
      <c r="A5933" s="113" t="s">
        <v>10238</v>
      </c>
      <c r="B5933" s="112" t="s">
        <v>11323</v>
      </c>
    </row>
    <row r="5934" spans="1:2" ht="15">
      <c r="A5934" s="113" t="s">
        <v>10239</v>
      </c>
      <c r="B5934" s="112" t="s">
        <v>11323</v>
      </c>
    </row>
    <row r="5935" spans="1:2" ht="15">
      <c r="A5935" s="113" t="s">
        <v>10240</v>
      </c>
      <c r="B5935" s="112" t="s">
        <v>11323</v>
      </c>
    </row>
    <row r="5936" spans="1:2" ht="15">
      <c r="A5936" s="113" t="s">
        <v>10241</v>
      </c>
      <c r="B5936" s="112" t="s">
        <v>11323</v>
      </c>
    </row>
    <row r="5937" spans="1:2" ht="15">
      <c r="A5937" s="113" t="s">
        <v>10242</v>
      </c>
      <c r="B5937" s="112" t="s">
        <v>11323</v>
      </c>
    </row>
    <row r="5938" spans="1:2" ht="15">
      <c r="A5938" s="113" t="s">
        <v>10243</v>
      </c>
      <c r="B5938" s="112" t="s">
        <v>11323</v>
      </c>
    </row>
    <row r="5939" spans="1:2" ht="15">
      <c r="A5939" s="113" t="s">
        <v>10244</v>
      </c>
      <c r="B5939" s="112" t="s">
        <v>11323</v>
      </c>
    </row>
    <row r="5940" spans="1:2" ht="15">
      <c r="A5940" s="113" t="s">
        <v>10245</v>
      </c>
      <c r="B5940" s="112" t="s">
        <v>11323</v>
      </c>
    </row>
    <row r="5941" spans="1:2" ht="15">
      <c r="A5941" s="113" t="s">
        <v>10246</v>
      </c>
      <c r="B5941" s="112" t="s">
        <v>11323</v>
      </c>
    </row>
    <row r="5942" spans="1:2" ht="15">
      <c r="A5942" s="113" t="s">
        <v>10247</v>
      </c>
      <c r="B5942" s="112" t="s">
        <v>11323</v>
      </c>
    </row>
    <row r="5943" spans="1:2" ht="15">
      <c r="A5943" s="113" t="s">
        <v>10248</v>
      </c>
      <c r="B5943" s="112" t="s">
        <v>11323</v>
      </c>
    </row>
    <row r="5944" spans="1:2" ht="15">
      <c r="A5944" s="113" t="s">
        <v>10249</v>
      </c>
      <c r="B5944" s="112" t="s">
        <v>11323</v>
      </c>
    </row>
    <row r="5945" spans="1:2" ht="15">
      <c r="A5945" s="113" t="s">
        <v>10250</v>
      </c>
      <c r="B5945" s="112" t="s">
        <v>11323</v>
      </c>
    </row>
    <row r="5946" spans="1:2" ht="15">
      <c r="A5946" s="113" t="s">
        <v>10251</v>
      </c>
      <c r="B5946" s="112" t="s">
        <v>11323</v>
      </c>
    </row>
    <row r="5947" spans="1:2" ht="15">
      <c r="A5947" s="113" t="s">
        <v>10252</v>
      </c>
      <c r="B5947" s="112" t="s">
        <v>11323</v>
      </c>
    </row>
    <row r="5948" spans="1:2" ht="15">
      <c r="A5948" s="113" t="s">
        <v>10253</v>
      </c>
      <c r="B5948" s="112" t="s">
        <v>11323</v>
      </c>
    </row>
    <row r="5949" spans="1:2" ht="15">
      <c r="A5949" s="113" t="s">
        <v>10254</v>
      </c>
      <c r="B5949" s="112" t="s">
        <v>11323</v>
      </c>
    </row>
    <row r="5950" spans="1:2" ht="15">
      <c r="A5950" s="113" t="s">
        <v>10255</v>
      </c>
      <c r="B5950" s="112" t="s">
        <v>11323</v>
      </c>
    </row>
    <row r="5951" spans="1:2" ht="15">
      <c r="A5951" s="113" t="s">
        <v>10256</v>
      </c>
      <c r="B5951" s="112" t="s">
        <v>11323</v>
      </c>
    </row>
    <row r="5952" spans="1:2" ht="15">
      <c r="A5952" s="113" t="s">
        <v>10257</v>
      </c>
      <c r="B5952" s="112" t="s">
        <v>11323</v>
      </c>
    </row>
    <row r="5953" spans="1:2" ht="15">
      <c r="A5953" s="113" t="s">
        <v>10258</v>
      </c>
      <c r="B5953" s="112" t="s">
        <v>11323</v>
      </c>
    </row>
    <row r="5954" spans="1:2" ht="15">
      <c r="A5954" s="113" t="s">
        <v>10259</v>
      </c>
      <c r="B5954" s="112" t="s">
        <v>11323</v>
      </c>
    </row>
    <row r="5955" spans="1:2" ht="15">
      <c r="A5955" s="113" t="s">
        <v>10260</v>
      </c>
      <c r="B5955" s="112" t="s">
        <v>11323</v>
      </c>
    </row>
    <row r="5956" spans="1:2" ht="15">
      <c r="A5956" s="113" t="s">
        <v>10261</v>
      </c>
      <c r="B5956" s="112" t="s">
        <v>11323</v>
      </c>
    </row>
    <row r="5957" spans="1:2" ht="15">
      <c r="A5957" s="113" t="s">
        <v>10262</v>
      </c>
      <c r="B5957" s="112" t="s">
        <v>11323</v>
      </c>
    </row>
    <row r="5958" spans="1:2" ht="15">
      <c r="A5958" s="113" t="s">
        <v>10263</v>
      </c>
      <c r="B5958" s="112" t="s">
        <v>11323</v>
      </c>
    </row>
    <row r="5959" spans="1:2" ht="15">
      <c r="A5959" s="113" t="s">
        <v>10264</v>
      </c>
      <c r="B5959" s="112" t="s">
        <v>11323</v>
      </c>
    </row>
    <row r="5960" spans="1:2" ht="15">
      <c r="A5960" s="113" t="s">
        <v>10265</v>
      </c>
      <c r="B5960" s="112" t="s">
        <v>11323</v>
      </c>
    </row>
    <row r="5961" spans="1:2" ht="15">
      <c r="A5961" s="113" t="s">
        <v>10266</v>
      </c>
      <c r="B5961" s="112" t="s">
        <v>11323</v>
      </c>
    </row>
    <row r="5962" spans="1:2" ht="15">
      <c r="A5962" s="113" t="s">
        <v>10267</v>
      </c>
      <c r="B5962" s="112" t="s">
        <v>11323</v>
      </c>
    </row>
    <row r="5963" spans="1:2" ht="15">
      <c r="A5963" s="113" t="s">
        <v>10268</v>
      </c>
      <c r="B5963" s="112" t="s">
        <v>11323</v>
      </c>
    </row>
    <row r="5964" spans="1:2" ht="15">
      <c r="A5964" s="113" t="s">
        <v>10269</v>
      </c>
      <c r="B5964" s="112" t="s">
        <v>11323</v>
      </c>
    </row>
    <row r="5965" spans="1:2" ht="15">
      <c r="A5965" s="113" t="s">
        <v>10270</v>
      </c>
      <c r="B5965" s="112" t="s">
        <v>11323</v>
      </c>
    </row>
    <row r="5966" spans="1:2" ht="15">
      <c r="A5966" s="113" t="s">
        <v>10271</v>
      </c>
      <c r="B5966" s="112" t="s">
        <v>11323</v>
      </c>
    </row>
    <row r="5967" spans="1:2" ht="15">
      <c r="A5967" s="113" t="s">
        <v>10272</v>
      </c>
      <c r="B5967" s="112" t="s">
        <v>11323</v>
      </c>
    </row>
    <row r="5968" spans="1:2" ht="15">
      <c r="A5968" s="113" t="s">
        <v>10273</v>
      </c>
      <c r="B5968" s="112" t="s">
        <v>11323</v>
      </c>
    </row>
    <row r="5969" spans="1:2" ht="15">
      <c r="A5969" s="113" t="s">
        <v>10274</v>
      </c>
      <c r="B5969" s="112" t="s">
        <v>11323</v>
      </c>
    </row>
    <row r="5970" spans="1:2" ht="15">
      <c r="A5970" s="113" t="s">
        <v>10275</v>
      </c>
      <c r="B5970" s="112" t="s">
        <v>11323</v>
      </c>
    </row>
    <row r="5971" spans="1:2" ht="15">
      <c r="A5971" s="113" t="s">
        <v>10276</v>
      </c>
      <c r="B5971" s="112" t="s">
        <v>11323</v>
      </c>
    </row>
    <row r="5972" spans="1:2" ht="15">
      <c r="A5972" s="113" t="s">
        <v>10277</v>
      </c>
      <c r="B5972" s="112" t="s">
        <v>11323</v>
      </c>
    </row>
    <row r="5973" spans="1:2" ht="15">
      <c r="A5973" s="113" t="s">
        <v>10278</v>
      </c>
      <c r="B5973" s="112" t="s">
        <v>11323</v>
      </c>
    </row>
    <row r="5974" spans="1:2" ht="15">
      <c r="A5974" s="113" t="s">
        <v>10279</v>
      </c>
      <c r="B5974" s="112" t="s">
        <v>11323</v>
      </c>
    </row>
    <row r="5975" spans="1:2" ht="15">
      <c r="A5975" s="113" t="s">
        <v>10280</v>
      </c>
      <c r="B5975" s="112" t="s">
        <v>11323</v>
      </c>
    </row>
    <row r="5976" spans="1:2" ht="15">
      <c r="A5976" s="113" t="s">
        <v>10281</v>
      </c>
      <c r="B5976" s="112" t="s">
        <v>11323</v>
      </c>
    </row>
    <row r="5977" spans="1:2" ht="15">
      <c r="A5977" s="113" t="s">
        <v>10282</v>
      </c>
      <c r="B5977" s="112" t="s">
        <v>11323</v>
      </c>
    </row>
    <row r="5978" spans="1:2" ht="15">
      <c r="A5978" s="113" t="s">
        <v>10283</v>
      </c>
      <c r="B5978" s="112" t="s">
        <v>11323</v>
      </c>
    </row>
    <row r="5979" spans="1:2" ht="15">
      <c r="A5979" s="113" t="s">
        <v>10284</v>
      </c>
      <c r="B5979" s="112" t="s">
        <v>11323</v>
      </c>
    </row>
    <row r="5980" spans="1:2" ht="15">
      <c r="A5980" s="113" t="s">
        <v>10285</v>
      </c>
      <c r="B5980" s="112" t="s">
        <v>11323</v>
      </c>
    </row>
    <row r="5981" spans="1:2" ht="15">
      <c r="A5981" s="113" t="s">
        <v>10286</v>
      </c>
      <c r="B5981" s="112" t="s">
        <v>11323</v>
      </c>
    </row>
    <row r="5982" spans="1:2" ht="15">
      <c r="A5982" s="113" t="s">
        <v>10287</v>
      </c>
      <c r="B5982" s="112" t="s">
        <v>11323</v>
      </c>
    </row>
    <row r="5983" spans="1:2" ht="15">
      <c r="A5983" s="113" t="s">
        <v>10288</v>
      </c>
      <c r="B5983" s="112" t="s">
        <v>11323</v>
      </c>
    </row>
    <row r="5984" spans="1:2" ht="15">
      <c r="A5984" s="113" t="s">
        <v>10289</v>
      </c>
      <c r="B5984" s="112" t="s">
        <v>11323</v>
      </c>
    </row>
    <row r="5985" spans="1:2" ht="15">
      <c r="A5985" s="113" t="s">
        <v>10290</v>
      </c>
      <c r="B5985" s="112" t="s">
        <v>11323</v>
      </c>
    </row>
    <row r="5986" spans="1:2" ht="15">
      <c r="A5986" s="113" t="s">
        <v>10291</v>
      </c>
      <c r="B5986" s="112" t="s">
        <v>11323</v>
      </c>
    </row>
    <row r="5987" spans="1:2" ht="15">
      <c r="A5987" s="113" t="s">
        <v>10292</v>
      </c>
      <c r="B5987" s="112" t="s">
        <v>11323</v>
      </c>
    </row>
    <row r="5988" spans="1:2" ht="15">
      <c r="A5988" s="113" t="s">
        <v>10293</v>
      </c>
      <c r="B5988" s="112" t="s">
        <v>11323</v>
      </c>
    </row>
    <row r="5989" spans="1:2" ht="15">
      <c r="A5989" s="113" t="s">
        <v>10294</v>
      </c>
      <c r="B5989" s="112" t="s">
        <v>11323</v>
      </c>
    </row>
    <row r="5990" spans="1:2" ht="15">
      <c r="A5990" s="113" t="s">
        <v>10295</v>
      </c>
      <c r="B5990" s="112" t="s">
        <v>11323</v>
      </c>
    </row>
    <row r="5991" spans="1:2" ht="15">
      <c r="A5991" s="113" t="s">
        <v>10296</v>
      </c>
      <c r="B5991" s="112" t="s">
        <v>11323</v>
      </c>
    </row>
    <row r="5992" spans="1:2" ht="15">
      <c r="A5992" s="113" t="s">
        <v>10297</v>
      </c>
      <c r="B5992" s="112" t="s">
        <v>11323</v>
      </c>
    </row>
    <row r="5993" spans="1:2" ht="15">
      <c r="A5993" s="113" t="s">
        <v>10298</v>
      </c>
      <c r="B5993" s="112" t="s">
        <v>11323</v>
      </c>
    </row>
    <row r="5994" spans="1:2" ht="15">
      <c r="A5994" s="113" t="s">
        <v>10299</v>
      </c>
      <c r="B5994" s="112" t="s">
        <v>11323</v>
      </c>
    </row>
    <row r="5995" spans="1:2" ht="15">
      <c r="A5995" s="113" t="s">
        <v>10300</v>
      </c>
      <c r="B5995" s="112" t="s">
        <v>11323</v>
      </c>
    </row>
    <row r="5996" spans="1:2" ht="15">
      <c r="A5996" s="113" t="s">
        <v>10301</v>
      </c>
      <c r="B5996" s="112" t="s">
        <v>11323</v>
      </c>
    </row>
    <row r="5997" spans="1:2" ht="15">
      <c r="A5997" s="113" t="s">
        <v>10302</v>
      </c>
      <c r="B5997" s="112" t="s">
        <v>11323</v>
      </c>
    </row>
    <row r="5998" spans="1:2" ht="15">
      <c r="A5998" s="113" t="s">
        <v>10303</v>
      </c>
      <c r="B5998" s="112" t="s">
        <v>11323</v>
      </c>
    </row>
    <row r="5999" spans="1:2" ht="15">
      <c r="A5999" s="113" t="s">
        <v>10304</v>
      </c>
      <c r="B5999" s="112" t="s">
        <v>11323</v>
      </c>
    </row>
    <row r="6000" spans="1:2" ht="15">
      <c r="A6000" s="113" t="s">
        <v>10305</v>
      </c>
      <c r="B6000" s="112" t="s">
        <v>11323</v>
      </c>
    </row>
    <row r="6001" spans="1:2" ht="15">
      <c r="A6001" s="113" t="s">
        <v>10306</v>
      </c>
      <c r="B6001" s="112" t="s">
        <v>11323</v>
      </c>
    </row>
    <row r="6002" spans="1:2" ht="15">
      <c r="A6002" s="113" t="s">
        <v>10307</v>
      </c>
      <c r="B6002" s="112" t="s">
        <v>11323</v>
      </c>
    </row>
    <row r="6003" spans="1:2" ht="15">
      <c r="A6003" s="113" t="s">
        <v>10308</v>
      </c>
      <c r="B6003" s="112" t="s">
        <v>11323</v>
      </c>
    </row>
    <row r="6004" spans="1:2" ht="15">
      <c r="A6004" s="113" t="s">
        <v>10309</v>
      </c>
      <c r="B6004" s="112" t="s">
        <v>11323</v>
      </c>
    </row>
    <row r="6005" spans="1:2" ht="15">
      <c r="A6005" s="113" t="s">
        <v>10310</v>
      </c>
      <c r="B6005" s="112" t="s">
        <v>11323</v>
      </c>
    </row>
    <row r="6006" spans="1:2" ht="15">
      <c r="A6006" s="113" t="s">
        <v>10311</v>
      </c>
      <c r="B6006" s="112" t="s">
        <v>11323</v>
      </c>
    </row>
    <row r="6007" spans="1:2" ht="15">
      <c r="A6007" s="113" t="s">
        <v>10312</v>
      </c>
      <c r="B6007" s="112" t="s">
        <v>11323</v>
      </c>
    </row>
    <row r="6008" spans="1:2" ht="15">
      <c r="A6008" s="113" t="s">
        <v>10313</v>
      </c>
      <c r="B6008" s="112" t="s">
        <v>11323</v>
      </c>
    </row>
    <row r="6009" spans="1:2" ht="15">
      <c r="A6009" s="113" t="s">
        <v>10314</v>
      </c>
      <c r="B6009" s="112" t="s">
        <v>11323</v>
      </c>
    </row>
    <row r="6010" spans="1:2" ht="15">
      <c r="A6010" s="113" t="s">
        <v>10315</v>
      </c>
      <c r="B6010" s="112" t="s">
        <v>11323</v>
      </c>
    </row>
    <row r="6011" spans="1:2" ht="15">
      <c r="A6011" s="113" t="s">
        <v>10316</v>
      </c>
      <c r="B6011" s="112" t="s">
        <v>11323</v>
      </c>
    </row>
    <row r="6012" spans="1:2" ht="15">
      <c r="A6012" s="113" t="s">
        <v>10317</v>
      </c>
      <c r="B6012" s="112" t="s">
        <v>11323</v>
      </c>
    </row>
    <row r="6013" spans="1:2" ht="15">
      <c r="A6013" s="113" t="s">
        <v>10318</v>
      </c>
      <c r="B6013" s="112" t="s">
        <v>11323</v>
      </c>
    </row>
    <row r="6014" spans="1:2" ht="15">
      <c r="A6014" s="113" t="s">
        <v>10319</v>
      </c>
      <c r="B6014" s="112" t="s">
        <v>11323</v>
      </c>
    </row>
    <row r="6015" spans="1:2" ht="15">
      <c r="A6015" s="113" t="s">
        <v>10320</v>
      </c>
      <c r="B6015" s="112" t="s">
        <v>11323</v>
      </c>
    </row>
    <row r="6016" spans="1:2" ht="15">
      <c r="A6016" s="113" t="s">
        <v>10321</v>
      </c>
      <c r="B6016" s="112" t="s">
        <v>11323</v>
      </c>
    </row>
    <row r="6017" spans="1:2" ht="15">
      <c r="A6017" s="113" t="s">
        <v>10322</v>
      </c>
      <c r="B6017" s="112" t="s">
        <v>11323</v>
      </c>
    </row>
    <row r="6018" spans="1:2" ht="15">
      <c r="A6018" s="113" t="s">
        <v>10323</v>
      </c>
      <c r="B6018" s="112" t="s">
        <v>11323</v>
      </c>
    </row>
    <row r="6019" spans="1:2" ht="15">
      <c r="A6019" s="113" t="s">
        <v>10324</v>
      </c>
      <c r="B6019" s="112" t="s">
        <v>11323</v>
      </c>
    </row>
    <row r="6020" spans="1:2" ht="15">
      <c r="A6020" s="113" t="s">
        <v>10325</v>
      </c>
      <c r="B6020" s="112" t="s">
        <v>11323</v>
      </c>
    </row>
    <row r="6021" spans="1:2" ht="15">
      <c r="A6021" s="113" t="s">
        <v>10326</v>
      </c>
      <c r="B6021" s="112" t="s">
        <v>11323</v>
      </c>
    </row>
    <row r="6022" spans="1:2" ht="15">
      <c r="A6022" s="113" t="s">
        <v>10327</v>
      </c>
      <c r="B6022" s="112" t="s">
        <v>11323</v>
      </c>
    </row>
    <row r="6023" spans="1:2" ht="15">
      <c r="A6023" s="113" t="s">
        <v>10328</v>
      </c>
      <c r="B6023" s="112" t="s">
        <v>11323</v>
      </c>
    </row>
    <row r="6024" spans="1:2" ht="15">
      <c r="A6024" s="113" t="s">
        <v>10329</v>
      </c>
      <c r="B6024" s="112" t="s">
        <v>11323</v>
      </c>
    </row>
    <row r="6025" spans="1:2" ht="15">
      <c r="A6025" s="113" t="s">
        <v>10330</v>
      </c>
      <c r="B6025" s="112" t="s">
        <v>11323</v>
      </c>
    </row>
    <row r="6026" spans="1:2" ht="15">
      <c r="A6026" s="113" t="s">
        <v>10331</v>
      </c>
      <c r="B6026" s="112" t="s">
        <v>11323</v>
      </c>
    </row>
    <row r="6027" spans="1:2" ht="15">
      <c r="A6027" s="113" t="s">
        <v>10332</v>
      </c>
      <c r="B6027" s="112" t="s">
        <v>11323</v>
      </c>
    </row>
    <row r="6028" spans="1:2" ht="15">
      <c r="A6028" s="113" t="s">
        <v>10333</v>
      </c>
      <c r="B6028" s="112" t="s">
        <v>11323</v>
      </c>
    </row>
    <row r="6029" spans="1:2" ht="15">
      <c r="A6029" s="113" t="s">
        <v>10334</v>
      </c>
      <c r="B6029" s="112" t="s">
        <v>11323</v>
      </c>
    </row>
    <row r="6030" spans="1:2" ht="15">
      <c r="A6030" s="113" t="s">
        <v>10335</v>
      </c>
      <c r="B6030" s="112" t="s">
        <v>11323</v>
      </c>
    </row>
    <row r="6031" spans="1:2" ht="15">
      <c r="A6031" s="113" t="s">
        <v>10336</v>
      </c>
      <c r="B6031" s="112" t="s">
        <v>11323</v>
      </c>
    </row>
    <row r="6032" spans="1:2" ht="15">
      <c r="A6032" s="113" t="s">
        <v>10337</v>
      </c>
      <c r="B6032" s="112" t="s">
        <v>11323</v>
      </c>
    </row>
    <row r="6033" spans="1:2" ht="15">
      <c r="A6033" s="113" t="s">
        <v>10338</v>
      </c>
      <c r="B6033" s="112" t="s">
        <v>11323</v>
      </c>
    </row>
    <row r="6034" spans="1:2" ht="15">
      <c r="A6034" s="113" t="s">
        <v>10339</v>
      </c>
      <c r="B6034" s="112" t="s">
        <v>11323</v>
      </c>
    </row>
    <row r="6035" spans="1:2" ht="15">
      <c r="A6035" s="113" t="s">
        <v>10340</v>
      </c>
      <c r="B6035" s="112" t="s">
        <v>11323</v>
      </c>
    </row>
    <row r="6036" spans="1:2" ht="15">
      <c r="A6036" s="113" t="s">
        <v>10341</v>
      </c>
      <c r="B6036" s="112" t="s">
        <v>11323</v>
      </c>
    </row>
    <row r="6037" spans="1:2" ht="15">
      <c r="A6037" s="113" t="s">
        <v>10342</v>
      </c>
      <c r="B6037" s="112" t="s">
        <v>11323</v>
      </c>
    </row>
    <row r="6038" spans="1:2" ht="15">
      <c r="A6038" s="113" t="s">
        <v>10343</v>
      </c>
      <c r="B6038" s="112" t="s">
        <v>11323</v>
      </c>
    </row>
    <row r="6039" spans="1:2" ht="15">
      <c r="A6039" s="113" t="s">
        <v>10344</v>
      </c>
      <c r="B6039" s="112" t="s">
        <v>11323</v>
      </c>
    </row>
    <row r="6040" spans="1:2" ht="15">
      <c r="A6040" s="113" t="s">
        <v>10345</v>
      </c>
      <c r="B6040" s="112" t="s">
        <v>11323</v>
      </c>
    </row>
    <row r="6041" spans="1:2" ht="15">
      <c r="A6041" s="113" t="s">
        <v>10346</v>
      </c>
      <c r="B6041" s="112" t="s">
        <v>11323</v>
      </c>
    </row>
    <row r="6042" spans="1:2" ht="15">
      <c r="A6042" s="113" t="s">
        <v>10347</v>
      </c>
      <c r="B6042" s="112" t="s">
        <v>11323</v>
      </c>
    </row>
    <row r="6043" spans="1:2" ht="15">
      <c r="A6043" s="113" t="s">
        <v>10348</v>
      </c>
      <c r="B6043" s="112" t="s">
        <v>11323</v>
      </c>
    </row>
    <row r="6044" spans="1:2" ht="15">
      <c r="A6044" s="113" t="s">
        <v>10349</v>
      </c>
      <c r="B6044" s="112" t="s">
        <v>11323</v>
      </c>
    </row>
    <row r="6045" spans="1:2" ht="15">
      <c r="A6045" s="113" t="s">
        <v>10350</v>
      </c>
      <c r="B6045" s="112" t="s">
        <v>11323</v>
      </c>
    </row>
    <row r="6046" spans="1:2" ht="15">
      <c r="A6046" s="113" t="s">
        <v>10351</v>
      </c>
      <c r="B6046" s="112" t="s">
        <v>11323</v>
      </c>
    </row>
    <row r="6047" spans="1:2" ht="15">
      <c r="A6047" s="113" t="s">
        <v>10352</v>
      </c>
      <c r="B6047" s="112" t="s">
        <v>11323</v>
      </c>
    </row>
    <row r="6048" spans="1:2" ht="15">
      <c r="A6048" s="113" t="s">
        <v>10353</v>
      </c>
      <c r="B6048" s="112" t="s">
        <v>11323</v>
      </c>
    </row>
    <row r="6049" spans="1:2" ht="15">
      <c r="A6049" s="113" t="s">
        <v>10354</v>
      </c>
      <c r="B6049" s="112" t="s">
        <v>11323</v>
      </c>
    </row>
    <row r="6050" spans="1:2" ht="15">
      <c r="A6050" s="113" t="s">
        <v>10355</v>
      </c>
      <c r="B6050" s="112" t="s">
        <v>11323</v>
      </c>
    </row>
    <row r="6051" spans="1:2" ht="15">
      <c r="A6051" s="113" t="s">
        <v>10356</v>
      </c>
      <c r="B6051" s="112" t="s">
        <v>11323</v>
      </c>
    </row>
    <row r="6052" spans="1:2" ht="15">
      <c r="A6052" s="113" t="s">
        <v>10357</v>
      </c>
      <c r="B6052" s="112" t="s">
        <v>11323</v>
      </c>
    </row>
    <row r="6053" spans="1:2" ht="15">
      <c r="A6053" s="113" t="s">
        <v>10358</v>
      </c>
      <c r="B6053" s="112" t="s">
        <v>11323</v>
      </c>
    </row>
    <row r="6054" spans="1:2" ht="15">
      <c r="A6054" s="113" t="s">
        <v>10359</v>
      </c>
      <c r="B6054" s="112" t="s">
        <v>11323</v>
      </c>
    </row>
    <row r="6055" spans="1:2" ht="15">
      <c r="A6055" s="113" t="s">
        <v>10360</v>
      </c>
      <c r="B6055" s="112" t="s">
        <v>11323</v>
      </c>
    </row>
    <row r="6056" spans="1:2" ht="15">
      <c r="A6056" s="113" t="s">
        <v>10361</v>
      </c>
      <c r="B6056" s="112" t="s">
        <v>11323</v>
      </c>
    </row>
    <row r="6057" spans="1:2" ht="15">
      <c r="A6057" s="113" t="s">
        <v>10362</v>
      </c>
      <c r="B6057" s="112" t="s">
        <v>11323</v>
      </c>
    </row>
    <row r="6058" spans="1:2" ht="15">
      <c r="A6058" s="113" t="s">
        <v>10363</v>
      </c>
      <c r="B6058" s="112" t="s">
        <v>11323</v>
      </c>
    </row>
    <row r="6059" spans="1:2" ht="15">
      <c r="A6059" s="113" t="s">
        <v>10364</v>
      </c>
      <c r="B6059" s="112" t="s">
        <v>11323</v>
      </c>
    </row>
    <row r="6060" spans="1:2" ht="15">
      <c r="A6060" s="113" t="s">
        <v>10365</v>
      </c>
      <c r="B6060" s="112" t="s">
        <v>11323</v>
      </c>
    </row>
    <row r="6061" spans="1:2" ht="15">
      <c r="A6061" s="113" t="s">
        <v>10366</v>
      </c>
      <c r="B6061" s="112" t="s">
        <v>11323</v>
      </c>
    </row>
    <row r="6062" spans="1:2" ht="15">
      <c r="A6062" s="113" t="s">
        <v>10367</v>
      </c>
      <c r="B6062" s="112" t="s">
        <v>11323</v>
      </c>
    </row>
    <row r="6063" spans="1:2" ht="15">
      <c r="A6063" s="113" t="s">
        <v>10368</v>
      </c>
      <c r="B6063" s="112" t="s">
        <v>11323</v>
      </c>
    </row>
    <row r="6064" spans="1:2" ht="15">
      <c r="A6064" s="113" t="s">
        <v>10369</v>
      </c>
      <c r="B6064" s="112" t="s">
        <v>11323</v>
      </c>
    </row>
    <row r="6065" spans="1:2" ht="15">
      <c r="A6065" s="113" t="s">
        <v>10370</v>
      </c>
      <c r="B6065" s="112" t="s">
        <v>11323</v>
      </c>
    </row>
    <row r="6066" spans="1:2" ht="15">
      <c r="A6066" s="113" t="s">
        <v>10371</v>
      </c>
      <c r="B6066" s="112" t="s">
        <v>11323</v>
      </c>
    </row>
    <row r="6067" spans="1:2" ht="15">
      <c r="A6067" s="113" t="s">
        <v>10372</v>
      </c>
      <c r="B6067" s="112" t="s">
        <v>11323</v>
      </c>
    </row>
    <row r="6068" spans="1:2" ht="15">
      <c r="A6068" s="113" t="s">
        <v>10373</v>
      </c>
      <c r="B6068" s="112" t="s">
        <v>11323</v>
      </c>
    </row>
    <row r="6069" spans="1:2" ht="15">
      <c r="A6069" s="113" t="s">
        <v>10374</v>
      </c>
      <c r="B6069" s="112" t="s">
        <v>11323</v>
      </c>
    </row>
    <row r="6070" spans="1:2" ht="15">
      <c r="A6070" s="113" t="s">
        <v>10375</v>
      </c>
      <c r="B6070" s="112" t="s">
        <v>11323</v>
      </c>
    </row>
    <row r="6071" spans="1:2" ht="15">
      <c r="A6071" s="113" t="s">
        <v>10376</v>
      </c>
      <c r="B6071" s="112" t="s">
        <v>11323</v>
      </c>
    </row>
    <row r="6072" spans="1:2" ht="15">
      <c r="A6072" s="113" t="s">
        <v>10377</v>
      </c>
      <c r="B6072" s="112" t="s">
        <v>11323</v>
      </c>
    </row>
    <row r="6073" spans="1:2" ht="15">
      <c r="A6073" s="113" t="s">
        <v>10378</v>
      </c>
      <c r="B6073" s="112" t="s">
        <v>11323</v>
      </c>
    </row>
    <row r="6074" spans="1:2" ht="15">
      <c r="A6074" s="113" t="s">
        <v>10379</v>
      </c>
      <c r="B6074" s="112" t="s">
        <v>11323</v>
      </c>
    </row>
    <row r="6075" spans="1:2" ht="15">
      <c r="A6075" s="113" t="s">
        <v>10380</v>
      </c>
      <c r="B6075" s="112" t="s">
        <v>11323</v>
      </c>
    </row>
    <row r="6076" spans="1:2" ht="15">
      <c r="A6076" s="113" t="s">
        <v>10381</v>
      </c>
      <c r="B6076" s="112" t="s">
        <v>11323</v>
      </c>
    </row>
    <row r="6077" spans="1:2" ht="15">
      <c r="A6077" s="113" t="s">
        <v>10382</v>
      </c>
      <c r="B6077" s="112" t="s">
        <v>11323</v>
      </c>
    </row>
    <row r="6078" spans="1:2" ht="15">
      <c r="A6078" s="113" t="s">
        <v>10383</v>
      </c>
      <c r="B6078" s="112" t="s">
        <v>11323</v>
      </c>
    </row>
    <row r="6079" spans="1:2" ht="15">
      <c r="A6079" s="113" t="s">
        <v>10384</v>
      </c>
      <c r="B6079" s="112" t="s">
        <v>11323</v>
      </c>
    </row>
    <row r="6080" spans="1:2" ht="15">
      <c r="A6080" s="113" t="s">
        <v>10385</v>
      </c>
      <c r="B6080" s="112" t="s">
        <v>11323</v>
      </c>
    </row>
    <row r="6081" spans="1:2" ht="15">
      <c r="A6081" s="113" t="s">
        <v>10386</v>
      </c>
      <c r="B6081" s="112" t="s">
        <v>11323</v>
      </c>
    </row>
    <row r="6082" spans="1:2" ht="15">
      <c r="A6082" s="113" t="s">
        <v>10387</v>
      </c>
      <c r="B6082" s="112" t="s">
        <v>11323</v>
      </c>
    </row>
    <row r="6083" spans="1:2" ht="15">
      <c r="A6083" s="113" t="s">
        <v>10388</v>
      </c>
      <c r="B6083" s="112" t="s">
        <v>11323</v>
      </c>
    </row>
    <row r="6084" spans="1:2" ht="15">
      <c r="A6084" s="113" t="s">
        <v>10389</v>
      </c>
      <c r="B6084" s="112" t="s">
        <v>11323</v>
      </c>
    </row>
    <row r="6085" spans="1:2" ht="15">
      <c r="A6085" s="113" t="s">
        <v>10390</v>
      </c>
      <c r="B6085" s="112" t="s">
        <v>11323</v>
      </c>
    </row>
    <row r="6086" spans="1:2" ht="15">
      <c r="A6086" s="113" t="s">
        <v>10391</v>
      </c>
      <c r="B6086" s="112" t="s">
        <v>11323</v>
      </c>
    </row>
    <row r="6087" spans="1:2" ht="15">
      <c r="A6087" s="113" t="s">
        <v>10392</v>
      </c>
      <c r="B6087" s="112" t="s">
        <v>11323</v>
      </c>
    </row>
    <row r="6088" spans="1:2" ht="15">
      <c r="A6088" s="113" t="s">
        <v>10393</v>
      </c>
      <c r="B6088" s="112" t="s">
        <v>11323</v>
      </c>
    </row>
    <row r="6089" spans="1:2" ht="15">
      <c r="A6089" s="113" t="s">
        <v>10394</v>
      </c>
      <c r="B6089" s="112" t="s">
        <v>11323</v>
      </c>
    </row>
    <row r="6090" spans="1:2" ht="15">
      <c r="A6090" s="113" t="s">
        <v>10395</v>
      </c>
      <c r="B6090" s="112" t="s">
        <v>11323</v>
      </c>
    </row>
    <row r="6091" spans="1:2" ht="15">
      <c r="A6091" s="113" t="s">
        <v>10396</v>
      </c>
      <c r="B6091" s="112" t="s">
        <v>11323</v>
      </c>
    </row>
    <row r="6092" spans="1:2" ht="15">
      <c r="A6092" s="113" t="s">
        <v>10397</v>
      </c>
      <c r="B6092" s="112" t="s">
        <v>11323</v>
      </c>
    </row>
    <row r="6093" spans="1:2" ht="15">
      <c r="A6093" s="113" t="s">
        <v>10398</v>
      </c>
      <c r="B6093" s="112" t="s">
        <v>11323</v>
      </c>
    </row>
    <row r="6094" spans="1:2" ht="15">
      <c r="A6094" s="113" t="s">
        <v>10399</v>
      </c>
      <c r="B6094" s="112" t="s">
        <v>11323</v>
      </c>
    </row>
    <row r="6095" spans="1:2" ht="15">
      <c r="A6095" s="113" t="s">
        <v>10400</v>
      </c>
      <c r="B6095" s="112" t="s">
        <v>11323</v>
      </c>
    </row>
    <row r="6096" spans="1:2" ht="15">
      <c r="A6096" s="113" t="s">
        <v>10401</v>
      </c>
      <c r="B6096" s="112" t="s">
        <v>11323</v>
      </c>
    </row>
    <row r="6097" spans="1:2" ht="15">
      <c r="A6097" s="113" t="s">
        <v>10402</v>
      </c>
      <c r="B6097" s="112" t="s">
        <v>11323</v>
      </c>
    </row>
    <row r="6098" spans="1:2" ht="15">
      <c r="A6098" s="113" t="s">
        <v>10403</v>
      </c>
      <c r="B6098" s="112" t="s">
        <v>11323</v>
      </c>
    </row>
    <row r="6099" spans="1:2" ht="15">
      <c r="A6099" s="113" t="s">
        <v>10404</v>
      </c>
      <c r="B6099" s="112" t="s">
        <v>11323</v>
      </c>
    </row>
    <row r="6100" spans="1:2" ht="15">
      <c r="A6100" s="113" t="s">
        <v>10405</v>
      </c>
      <c r="B6100" s="112" t="s">
        <v>11323</v>
      </c>
    </row>
    <row r="6101" spans="1:2" ht="15">
      <c r="A6101" s="113" t="s">
        <v>10406</v>
      </c>
      <c r="B6101" s="112" t="s">
        <v>11323</v>
      </c>
    </row>
    <row r="6102" spans="1:2" ht="15">
      <c r="A6102" s="113" t="s">
        <v>10407</v>
      </c>
      <c r="B6102" s="112" t="s">
        <v>11323</v>
      </c>
    </row>
    <row r="6103" spans="1:2" ht="15">
      <c r="A6103" s="113" t="s">
        <v>10408</v>
      </c>
      <c r="B6103" s="112" t="s">
        <v>11323</v>
      </c>
    </row>
    <row r="6104" spans="1:2" ht="15">
      <c r="A6104" s="113" t="s">
        <v>10409</v>
      </c>
      <c r="B6104" s="112" t="s">
        <v>11323</v>
      </c>
    </row>
    <row r="6105" spans="1:2" ht="15">
      <c r="A6105" s="113" t="s">
        <v>10410</v>
      </c>
      <c r="B6105" s="112" t="s">
        <v>11323</v>
      </c>
    </row>
    <row r="6106" spans="1:2" ht="15">
      <c r="A6106" s="113" t="s">
        <v>10411</v>
      </c>
      <c r="B6106" s="112" t="s">
        <v>11323</v>
      </c>
    </row>
    <row r="6107" spans="1:2" ht="15">
      <c r="A6107" s="113" t="s">
        <v>10412</v>
      </c>
      <c r="B6107" s="112" t="s">
        <v>11323</v>
      </c>
    </row>
    <row r="6108" spans="1:2" ht="15">
      <c r="A6108" s="113" t="s">
        <v>10413</v>
      </c>
      <c r="B6108" s="112" t="s">
        <v>11323</v>
      </c>
    </row>
    <row r="6109" spans="1:2" ht="15">
      <c r="A6109" s="113" t="s">
        <v>10414</v>
      </c>
      <c r="B6109" s="112" t="s">
        <v>11323</v>
      </c>
    </row>
    <row r="6110" spans="1:2" ht="15">
      <c r="A6110" s="113" t="s">
        <v>10415</v>
      </c>
      <c r="B6110" s="112" t="s">
        <v>11323</v>
      </c>
    </row>
    <row r="6111" spans="1:2" ht="15">
      <c r="A6111" s="113" t="s">
        <v>10416</v>
      </c>
      <c r="B6111" s="112" t="s">
        <v>11323</v>
      </c>
    </row>
    <row r="6112" spans="1:2" ht="15">
      <c r="A6112" s="113" t="s">
        <v>10417</v>
      </c>
      <c r="B6112" s="112" t="s">
        <v>11323</v>
      </c>
    </row>
    <row r="6113" spans="1:2" ht="15">
      <c r="A6113" s="113" t="s">
        <v>10418</v>
      </c>
      <c r="B6113" s="112" t="s">
        <v>11323</v>
      </c>
    </row>
    <row r="6114" spans="1:2" ht="15">
      <c r="A6114" s="113" t="s">
        <v>10419</v>
      </c>
      <c r="B6114" s="112" t="s">
        <v>11323</v>
      </c>
    </row>
    <row r="6115" spans="1:2" ht="15">
      <c r="A6115" s="113" t="s">
        <v>10420</v>
      </c>
      <c r="B6115" s="112" t="s">
        <v>11323</v>
      </c>
    </row>
    <row r="6116" spans="1:2" ht="15">
      <c r="A6116" s="113" t="s">
        <v>10421</v>
      </c>
      <c r="B6116" s="112" t="s">
        <v>11323</v>
      </c>
    </row>
    <row r="6117" spans="1:2" ht="15">
      <c r="A6117" s="113" t="s">
        <v>10422</v>
      </c>
      <c r="B6117" s="112" t="s">
        <v>11323</v>
      </c>
    </row>
    <row r="6118" spans="1:2" ht="15">
      <c r="A6118" s="113" t="s">
        <v>10423</v>
      </c>
      <c r="B6118" s="112" t="s">
        <v>11323</v>
      </c>
    </row>
    <row r="6119" spans="1:2" ht="15">
      <c r="A6119" s="113" t="s">
        <v>10424</v>
      </c>
      <c r="B6119" s="112" t="s">
        <v>11323</v>
      </c>
    </row>
    <row r="6120" spans="1:2" ht="15">
      <c r="A6120" s="113" t="s">
        <v>10425</v>
      </c>
      <c r="B6120" s="112" t="s">
        <v>11323</v>
      </c>
    </row>
    <row r="6121" spans="1:2" ht="15">
      <c r="A6121" s="113" t="s">
        <v>10426</v>
      </c>
      <c r="B6121" s="112" t="s">
        <v>11323</v>
      </c>
    </row>
    <row r="6122" spans="1:2" ht="15">
      <c r="A6122" s="113" t="s">
        <v>10427</v>
      </c>
      <c r="B6122" s="112" t="s">
        <v>11323</v>
      </c>
    </row>
    <row r="6123" spans="1:2" ht="15">
      <c r="A6123" s="113" t="s">
        <v>10428</v>
      </c>
      <c r="B6123" s="112" t="s">
        <v>11323</v>
      </c>
    </row>
    <row r="6124" spans="1:2" ht="15">
      <c r="A6124" s="113" t="s">
        <v>10429</v>
      </c>
      <c r="B6124" s="112" t="s">
        <v>11323</v>
      </c>
    </row>
    <row r="6125" spans="1:2" ht="15">
      <c r="A6125" s="113" t="s">
        <v>10430</v>
      </c>
      <c r="B6125" s="112" t="s">
        <v>11323</v>
      </c>
    </row>
    <row r="6126" spans="1:2" ht="15">
      <c r="A6126" s="113" t="s">
        <v>10431</v>
      </c>
      <c r="B6126" s="112" t="s">
        <v>11323</v>
      </c>
    </row>
    <row r="6127" spans="1:2" ht="15">
      <c r="A6127" s="113" t="s">
        <v>10432</v>
      </c>
      <c r="B6127" s="112" t="s">
        <v>11323</v>
      </c>
    </row>
    <row r="6128" spans="1:2" ht="15">
      <c r="A6128" s="113" t="s">
        <v>10433</v>
      </c>
      <c r="B6128" s="112" t="s">
        <v>11323</v>
      </c>
    </row>
    <row r="6129" spans="1:2" ht="15">
      <c r="A6129" s="113" t="s">
        <v>10434</v>
      </c>
      <c r="B6129" s="112" t="s">
        <v>11323</v>
      </c>
    </row>
    <row r="6130" spans="1:2" ht="15">
      <c r="A6130" s="113" t="s">
        <v>10435</v>
      </c>
      <c r="B6130" s="112" t="s">
        <v>11323</v>
      </c>
    </row>
    <row r="6131" spans="1:2" ht="15">
      <c r="A6131" s="113" t="s">
        <v>10436</v>
      </c>
      <c r="B6131" s="112" t="s">
        <v>11323</v>
      </c>
    </row>
    <row r="6132" spans="1:2" ht="15">
      <c r="A6132" s="113" t="s">
        <v>10437</v>
      </c>
      <c r="B6132" s="112" t="s">
        <v>11323</v>
      </c>
    </row>
    <row r="6133" spans="1:2" ht="15">
      <c r="A6133" s="113" t="s">
        <v>10438</v>
      </c>
      <c r="B6133" s="112" t="s">
        <v>11323</v>
      </c>
    </row>
    <row r="6134" spans="1:2" ht="15">
      <c r="A6134" s="113" t="s">
        <v>10439</v>
      </c>
      <c r="B6134" s="112" t="s">
        <v>11323</v>
      </c>
    </row>
    <row r="6135" spans="1:2" ht="15">
      <c r="A6135" s="113" t="s">
        <v>10440</v>
      </c>
      <c r="B6135" s="112" t="s">
        <v>11323</v>
      </c>
    </row>
    <row r="6136" spans="1:2" ht="15">
      <c r="A6136" s="113" t="s">
        <v>10441</v>
      </c>
      <c r="B6136" s="112" t="s">
        <v>11323</v>
      </c>
    </row>
    <row r="6137" spans="1:2" ht="15">
      <c r="A6137" s="113" t="s">
        <v>10442</v>
      </c>
      <c r="B6137" s="112" t="s">
        <v>11323</v>
      </c>
    </row>
    <row r="6138" spans="1:2" ht="15">
      <c r="A6138" s="113" t="s">
        <v>10443</v>
      </c>
      <c r="B6138" s="112" t="s">
        <v>11323</v>
      </c>
    </row>
    <row r="6139" spans="1:2" ht="15">
      <c r="A6139" s="113" t="s">
        <v>10444</v>
      </c>
      <c r="B6139" s="112" t="s">
        <v>11323</v>
      </c>
    </row>
    <row r="6140" spans="1:2" ht="15">
      <c r="A6140" s="113" t="s">
        <v>10445</v>
      </c>
      <c r="B6140" s="112" t="s">
        <v>11323</v>
      </c>
    </row>
    <row r="6141" spans="1:2" ht="15">
      <c r="A6141" s="113" t="s">
        <v>10446</v>
      </c>
      <c r="B6141" s="112" t="s">
        <v>11323</v>
      </c>
    </row>
    <row r="6142" spans="1:2" ht="15">
      <c r="A6142" s="113" t="s">
        <v>10447</v>
      </c>
      <c r="B6142" s="112" t="s">
        <v>11323</v>
      </c>
    </row>
    <row r="6143" spans="1:2" ht="15">
      <c r="A6143" s="113" t="s">
        <v>10448</v>
      </c>
      <c r="B6143" s="112" t="s">
        <v>11323</v>
      </c>
    </row>
    <row r="6144" spans="1:2" ht="15">
      <c r="A6144" s="113" t="s">
        <v>10449</v>
      </c>
      <c r="B6144" s="112" t="s">
        <v>11323</v>
      </c>
    </row>
    <row r="6145" spans="1:2" ht="15">
      <c r="A6145" s="113" t="s">
        <v>10450</v>
      </c>
      <c r="B6145" s="112" t="s">
        <v>11323</v>
      </c>
    </row>
    <row r="6146" spans="1:2" ht="15">
      <c r="A6146" s="113" t="s">
        <v>10451</v>
      </c>
      <c r="B6146" s="112" t="s">
        <v>11323</v>
      </c>
    </row>
    <row r="6147" spans="1:2" ht="15">
      <c r="A6147" s="113" t="s">
        <v>10452</v>
      </c>
      <c r="B6147" s="112" t="s">
        <v>11323</v>
      </c>
    </row>
    <row r="6148" spans="1:2" ht="15">
      <c r="A6148" s="113" t="s">
        <v>10453</v>
      </c>
      <c r="B6148" s="112" t="s">
        <v>11323</v>
      </c>
    </row>
    <row r="6149" spans="1:2" ht="15">
      <c r="A6149" s="113" t="s">
        <v>10454</v>
      </c>
      <c r="B6149" s="112" t="s">
        <v>11323</v>
      </c>
    </row>
    <row r="6150" spans="1:2" ht="15">
      <c r="A6150" s="113" t="s">
        <v>10455</v>
      </c>
      <c r="B6150" s="112" t="s">
        <v>11323</v>
      </c>
    </row>
    <row r="6151" spans="1:2" ht="15">
      <c r="A6151" s="113" t="s">
        <v>10456</v>
      </c>
      <c r="B6151" s="112" t="s">
        <v>11323</v>
      </c>
    </row>
    <row r="6152" spans="1:2" ht="15">
      <c r="A6152" s="113" t="s">
        <v>10457</v>
      </c>
      <c r="B6152" s="112" t="s">
        <v>11323</v>
      </c>
    </row>
    <row r="6153" spans="1:2" ht="15">
      <c r="A6153" s="113" t="s">
        <v>10458</v>
      </c>
      <c r="B6153" s="112" t="s">
        <v>11323</v>
      </c>
    </row>
    <row r="6154" spans="1:2" ht="15">
      <c r="A6154" s="113" t="s">
        <v>10459</v>
      </c>
      <c r="B6154" s="112" t="s">
        <v>11323</v>
      </c>
    </row>
    <row r="6155" spans="1:2" ht="15">
      <c r="A6155" s="113" t="s">
        <v>10460</v>
      </c>
      <c r="B6155" s="112" t="s">
        <v>11323</v>
      </c>
    </row>
    <row r="6156" spans="1:2" ht="15">
      <c r="A6156" s="113" t="s">
        <v>10461</v>
      </c>
      <c r="B6156" s="112" t="s">
        <v>11323</v>
      </c>
    </row>
    <row r="6157" spans="1:2" ht="15">
      <c r="A6157" s="113" t="s">
        <v>10462</v>
      </c>
      <c r="B6157" s="112" t="s">
        <v>11323</v>
      </c>
    </row>
    <row r="6158" spans="1:2" ht="15">
      <c r="A6158" s="113" t="s">
        <v>10463</v>
      </c>
      <c r="B6158" s="112" t="s">
        <v>11323</v>
      </c>
    </row>
    <row r="6159" spans="1:2" ht="15">
      <c r="A6159" s="113" t="s">
        <v>10464</v>
      </c>
      <c r="B6159" s="112" t="s">
        <v>11323</v>
      </c>
    </row>
    <row r="6160" spans="1:2" ht="15">
      <c r="A6160" s="113" t="s">
        <v>10465</v>
      </c>
      <c r="B6160" s="112" t="s">
        <v>11323</v>
      </c>
    </row>
    <row r="6161" spans="1:2" ht="15">
      <c r="A6161" s="113" t="s">
        <v>10466</v>
      </c>
      <c r="B6161" s="112" t="s">
        <v>11323</v>
      </c>
    </row>
    <row r="6162" spans="1:2" ht="15">
      <c r="A6162" s="113" t="s">
        <v>10467</v>
      </c>
      <c r="B6162" s="112" t="s">
        <v>11323</v>
      </c>
    </row>
    <row r="6163" spans="1:2" ht="15">
      <c r="A6163" s="113" t="s">
        <v>10468</v>
      </c>
      <c r="B6163" s="112" t="s">
        <v>11323</v>
      </c>
    </row>
    <row r="6164" spans="1:2" ht="15">
      <c r="A6164" s="113" t="s">
        <v>10469</v>
      </c>
      <c r="B6164" s="112" t="s">
        <v>11323</v>
      </c>
    </row>
    <row r="6165" spans="1:2" ht="15">
      <c r="A6165" s="113" t="s">
        <v>10470</v>
      </c>
      <c r="B6165" s="112" t="s">
        <v>11323</v>
      </c>
    </row>
    <row r="6166" spans="1:2" ht="15">
      <c r="A6166" s="113" t="s">
        <v>10471</v>
      </c>
      <c r="B6166" s="112" t="s">
        <v>11323</v>
      </c>
    </row>
    <row r="6167" spans="1:2" ht="15">
      <c r="A6167" s="113" t="s">
        <v>10472</v>
      </c>
      <c r="B6167" s="112" t="s">
        <v>11323</v>
      </c>
    </row>
    <row r="6168" spans="1:2" ht="15">
      <c r="A6168" s="113" t="s">
        <v>10473</v>
      </c>
      <c r="B6168" s="112" t="s">
        <v>11323</v>
      </c>
    </row>
    <row r="6169" spans="1:2" ht="15">
      <c r="A6169" s="113" t="s">
        <v>10474</v>
      </c>
      <c r="B6169" s="112" t="s">
        <v>11323</v>
      </c>
    </row>
    <row r="6170" spans="1:2" ht="15">
      <c r="A6170" s="113" t="s">
        <v>10475</v>
      </c>
      <c r="B6170" s="112" t="s">
        <v>11323</v>
      </c>
    </row>
    <row r="6171" spans="1:2" ht="15">
      <c r="A6171" s="113" t="s">
        <v>10476</v>
      </c>
      <c r="B6171" s="112" t="s">
        <v>11323</v>
      </c>
    </row>
    <row r="6172" spans="1:2" ht="15">
      <c r="A6172" s="113" t="s">
        <v>10477</v>
      </c>
      <c r="B6172" s="112" t="s">
        <v>11323</v>
      </c>
    </row>
    <row r="6173" spans="1:2" ht="15">
      <c r="A6173" s="113" t="s">
        <v>10478</v>
      </c>
      <c r="B6173" s="112" t="s">
        <v>11323</v>
      </c>
    </row>
    <row r="6174" spans="1:2" ht="15">
      <c r="A6174" s="113" t="s">
        <v>10479</v>
      </c>
      <c r="B6174" s="112" t="s">
        <v>11323</v>
      </c>
    </row>
    <row r="6175" spans="1:2" ht="15">
      <c r="A6175" s="113" t="s">
        <v>10480</v>
      </c>
      <c r="B6175" s="112" t="s">
        <v>11323</v>
      </c>
    </row>
    <row r="6176" spans="1:2" ht="15">
      <c r="A6176" s="113" t="s">
        <v>10481</v>
      </c>
      <c r="B6176" s="112" t="s">
        <v>11323</v>
      </c>
    </row>
    <row r="6177" spans="1:2" ht="15">
      <c r="A6177" s="113" t="s">
        <v>10482</v>
      </c>
      <c r="B6177" s="112" t="s">
        <v>11323</v>
      </c>
    </row>
    <row r="6178" spans="1:2" ht="15">
      <c r="A6178" s="113" t="s">
        <v>10483</v>
      </c>
      <c r="B6178" s="112" t="s">
        <v>11323</v>
      </c>
    </row>
    <row r="6179" spans="1:2" ht="15">
      <c r="A6179" s="113" t="s">
        <v>10484</v>
      </c>
      <c r="B6179" s="112" t="s">
        <v>11323</v>
      </c>
    </row>
    <row r="6180" spans="1:2" ht="15">
      <c r="A6180" s="113" t="s">
        <v>10485</v>
      </c>
      <c r="B6180" s="112" t="s">
        <v>11323</v>
      </c>
    </row>
    <row r="6181" spans="1:2" ht="15">
      <c r="A6181" s="113" t="s">
        <v>10486</v>
      </c>
      <c r="B6181" s="112" t="s">
        <v>11323</v>
      </c>
    </row>
    <row r="6182" spans="1:2" ht="15">
      <c r="A6182" s="113" t="s">
        <v>10487</v>
      </c>
      <c r="B6182" s="112" t="s">
        <v>11323</v>
      </c>
    </row>
    <row r="6183" spans="1:2" ht="15">
      <c r="A6183" s="113" t="s">
        <v>10488</v>
      </c>
      <c r="B6183" s="112" t="s">
        <v>11323</v>
      </c>
    </row>
    <row r="6184" spans="1:2" ht="15">
      <c r="A6184" s="113" t="s">
        <v>10489</v>
      </c>
      <c r="B6184" s="112" t="s">
        <v>11323</v>
      </c>
    </row>
    <row r="6185" spans="1:2" ht="15">
      <c r="A6185" s="113" t="s">
        <v>10490</v>
      </c>
      <c r="B6185" s="112" t="s">
        <v>11323</v>
      </c>
    </row>
    <row r="6186" spans="1:2" ht="15">
      <c r="A6186" s="113" t="s">
        <v>10491</v>
      </c>
      <c r="B6186" s="112" t="s">
        <v>11323</v>
      </c>
    </row>
    <row r="6187" spans="1:2" ht="15">
      <c r="A6187" s="113" t="s">
        <v>10492</v>
      </c>
      <c r="B6187" s="112" t="s">
        <v>11323</v>
      </c>
    </row>
    <row r="6188" spans="1:2" ht="15">
      <c r="A6188" s="113" t="s">
        <v>10493</v>
      </c>
      <c r="B6188" s="112" t="s">
        <v>11323</v>
      </c>
    </row>
    <row r="6189" spans="1:2" ht="15">
      <c r="A6189" s="113" t="s">
        <v>10494</v>
      </c>
      <c r="B6189" s="112" t="s">
        <v>11323</v>
      </c>
    </row>
    <row r="6190" spans="1:2" ht="15">
      <c r="A6190" s="113" t="s">
        <v>10495</v>
      </c>
      <c r="B6190" s="112" t="s">
        <v>11323</v>
      </c>
    </row>
    <row r="6191" spans="1:2" ht="15">
      <c r="A6191" s="113" t="s">
        <v>10496</v>
      </c>
      <c r="B6191" s="112" t="s">
        <v>11323</v>
      </c>
    </row>
    <row r="6192" spans="1:2" ht="15">
      <c r="A6192" s="113" t="s">
        <v>10497</v>
      </c>
      <c r="B6192" s="112" t="s">
        <v>11323</v>
      </c>
    </row>
    <row r="6193" spans="1:2" ht="15">
      <c r="A6193" s="113" t="s">
        <v>10498</v>
      </c>
      <c r="B6193" s="112" t="s">
        <v>11323</v>
      </c>
    </row>
    <row r="6194" spans="1:2" ht="15">
      <c r="A6194" s="113" t="s">
        <v>10499</v>
      </c>
      <c r="B6194" s="112" t="s">
        <v>11323</v>
      </c>
    </row>
    <row r="6195" spans="1:2" ht="15">
      <c r="A6195" s="113" t="s">
        <v>10500</v>
      </c>
      <c r="B6195" s="112" t="s">
        <v>11323</v>
      </c>
    </row>
    <row r="6196" spans="1:2" ht="15">
      <c r="A6196" s="113" t="s">
        <v>10501</v>
      </c>
      <c r="B6196" s="112" t="s">
        <v>11323</v>
      </c>
    </row>
    <row r="6197" spans="1:2" ht="15">
      <c r="A6197" s="113" t="s">
        <v>10502</v>
      </c>
      <c r="B6197" s="112" t="s">
        <v>11323</v>
      </c>
    </row>
    <row r="6198" spans="1:2" ht="15">
      <c r="A6198" s="113" t="s">
        <v>10503</v>
      </c>
      <c r="B6198" s="112" t="s">
        <v>11323</v>
      </c>
    </row>
    <row r="6199" spans="1:2" ht="15">
      <c r="A6199" s="113" t="s">
        <v>10504</v>
      </c>
      <c r="B6199" s="112" t="s">
        <v>11323</v>
      </c>
    </row>
    <row r="6200" spans="1:2" ht="15">
      <c r="A6200" s="113" t="s">
        <v>10505</v>
      </c>
      <c r="B6200" s="112" t="s">
        <v>11323</v>
      </c>
    </row>
    <row r="6201" spans="1:2" ht="15">
      <c r="A6201" s="113" t="s">
        <v>10506</v>
      </c>
      <c r="B6201" s="112" t="s">
        <v>11323</v>
      </c>
    </row>
    <row r="6202" spans="1:2" ht="15">
      <c r="A6202" s="113" t="s">
        <v>10507</v>
      </c>
      <c r="B6202" s="112" t="s">
        <v>11323</v>
      </c>
    </row>
    <row r="6203" spans="1:2" ht="15">
      <c r="A6203" s="113" t="s">
        <v>10508</v>
      </c>
      <c r="B6203" s="112" t="s">
        <v>11323</v>
      </c>
    </row>
    <row r="6204" spans="1:2" ht="15">
      <c r="A6204" s="113" t="s">
        <v>10509</v>
      </c>
      <c r="B6204" s="112" t="s">
        <v>11323</v>
      </c>
    </row>
    <row r="6205" spans="1:2" ht="15">
      <c r="A6205" s="113" t="s">
        <v>10510</v>
      </c>
      <c r="B6205" s="112" t="s">
        <v>11323</v>
      </c>
    </row>
    <row r="6206" spans="1:2" ht="15">
      <c r="A6206" s="113" t="s">
        <v>10511</v>
      </c>
      <c r="B6206" s="112" t="s">
        <v>11323</v>
      </c>
    </row>
    <row r="6207" spans="1:2" ht="15">
      <c r="A6207" s="113" t="s">
        <v>10512</v>
      </c>
      <c r="B6207" s="112" t="s">
        <v>11323</v>
      </c>
    </row>
    <row r="6208" spans="1:2" ht="15">
      <c r="A6208" s="113" t="s">
        <v>10513</v>
      </c>
      <c r="B6208" s="112" t="s">
        <v>11323</v>
      </c>
    </row>
    <row r="6209" spans="1:2" ht="15">
      <c r="A6209" s="113" t="s">
        <v>10514</v>
      </c>
      <c r="B6209" s="112" t="s">
        <v>11323</v>
      </c>
    </row>
    <row r="6210" spans="1:2" ht="15">
      <c r="A6210" s="113" t="s">
        <v>10515</v>
      </c>
      <c r="B6210" s="112" t="s">
        <v>11323</v>
      </c>
    </row>
    <row r="6211" spans="1:2" ht="15">
      <c r="A6211" s="113" t="s">
        <v>10516</v>
      </c>
      <c r="B6211" s="112" t="s">
        <v>11323</v>
      </c>
    </row>
    <row r="6212" spans="1:2" ht="15">
      <c r="A6212" s="113" t="s">
        <v>10517</v>
      </c>
      <c r="B6212" s="112" t="s">
        <v>11323</v>
      </c>
    </row>
    <row r="6213" spans="1:2" ht="15">
      <c r="A6213" s="113" t="s">
        <v>10518</v>
      </c>
      <c r="B6213" s="112" t="s">
        <v>11323</v>
      </c>
    </row>
    <row r="6214" spans="1:2" ht="15">
      <c r="A6214" s="113" t="s">
        <v>10519</v>
      </c>
      <c r="B6214" s="112" t="s">
        <v>11323</v>
      </c>
    </row>
    <row r="6215" spans="1:2" ht="15">
      <c r="A6215" s="113" t="s">
        <v>10520</v>
      </c>
      <c r="B6215" s="112" t="s">
        <v>11323</v>
      </c>
    </row>
    <row r="6216" spans="1:2" ht="15">
      <c r="A6216" s="113" t="s">
        <v>10521</v>
      </c>
      <c r="B6216" s="112" t="s">
        <v>11323</v>
      </c>
    </row>
    <row r="6217" spans="1:2" ht="15">
      <c r="A6217" s="113" t="s">
        <v>10522</v>
      </c>
      <c r="B6217" s="112" t="s">
        <v>11323</v>
      </c>
    </row>
    <row r="6218" spans="1:2" ht="15">
      <c r="A6218" s="113" t="s">
        <v>10523</v>
      </c>
      <c r="B6218" s="112" t="s">
        <v>11323</v>
      </c>
    </row>
    <row r="6219" spans="1:2" ht="15">
      <c r="A6219" s="113" t="s">
        <v>10524</v>
      </c>
      <c r="B6219" s="112" t="s">
        <v>11323</v>
      </c>
    </row>
    <row r="6220" spans="1:2" ht="15">
      <c r="A6220" s="113" t="s">
        <v>10525</v>
      </c>
      <c r="B6220" s="112" t="s">
        <v>11323</v>
      </c>
    </row>
    <row r="6221" spans="1:2" ht="15">
      <c r="A6221" s="113" t="s">
        <v>10526</v>
      </c>
      <c r="B6221" s="112" t="s">
        <v>11323</v>
      </c>
    </row>
    <row r="6222" spans="1:2" ht="15">
      <c r="A6222" s="113" t="s">
        <v>10527</v>
      </c>
      <c r="B6222" s="112" t="s">
        <v>11323</v>
      </c>
    </row>
    <row r="6223" spans="1:2" ht="15">
      <c r="A6223" s="113" t="s">
        <v>10528</v>
      </c>
      <c r="B6223" s="112" t="s">
        <v>11323</v>
      </c>
    </row>
    <row r="6224" spans="1:2" ht="15">
      <c r="A6224" s="113" t="s">
        <v>10529</v>
      </c>
      <c r="B6224" s="112" t="s">
        <v>11323</v>
      </c>
    </row>
    <row r="6225" spans="1:2" ht="15">
      <c r="A6225" s="113" t="s">
        <v>10530</v>
      </c>
      <c r="B6225" s="112" t="s">
        <v>11323</v>
      </c>
    </row>
    <row r="6226" spans="1:2" ht="15">
      <c r="A6226" s="113" t="s">
        <v>10531</v>
      </c>
      <c r="B6226" s="112" t="s">
        <v>11323</v>
      </c>
    </row>
    <row r="6227" spans="1:2" ht="15">
      <c r="A6227" s="113" t="s">
        <v>10532</v>
      </c>
      <c r="B6227" s="112" t="s">
        <v>11323</v>
      </c>
    </row>
    <row r="6228" spans="1:2" ht="15">
      <c r="A6228" s="113" t="s">
        <v>10533</v>
      </c>
      <c r="B6228" s="112" t="s">
        <v>11323</v>
      </c>
    </row>
    <row r="6229" spans="1:2" ht="15">
      <c r="A6229" s="113" t="s">
        <v>10534</v>
      </c>
      <c r="B6229" s="112" t="s">
        <v>11323</v>
      </c>
    </row>
    <row r="6230" spans="1:2" ht="15">
      <c r="A6230" s="113" t="s">
        <v>10535</v>
      </c>
      <c r="B6230" s="112" t="s">
        <v>11323</v>
      </c>
    </row>
    <row r="6231" spans="1:2" ht="15">
      <c r="A6231" s="113" t="s">
        <v>10536</v>
      </c>
      <c r="B6231" s="112" t="s">
        <v>11323</v>
      </c>
    </row>
    <row r="6232" spans="1:2" ht="15">
      <c r="A6232" s="113" t="s">
        <v>10537</v>
      </c>
      <c r="B6232" s="112" t="s">
        <v>11323</v>
      </c>
    </row>
    <row r="6233" spans="1:2" ht="15">
      <c r="A6233" s="113" t="s">
        <v>10538</v>
      </c>
      <c r="B6233" s="112" t="s">
        <v>11323</v>
      </c>
    </row>
    <row r="6234" spans="1:2" ht="15">
      <c r="A6234" s="113" t="s">
        <v>10539</v>
      </c>
      <c r="B6234" s="112" t="s">
        <v>11323</v>
      </c>
    </row>
    <row r="6235" spans="1:2" ht="15">
      <c r="A6235" s="113" t="s">
        <v>10540</v>
      </c>
      <c r="B6235" s="112" t="s">
        <v>11323</v>
      </c>
    </row>
    <row r="6236" spans="1:2" ht="15">
      <c r="A6236" s="113" t="s">
        <v>10541</v>
      </c>
      <c r="B6236" s="112" t="s">
        <v>11323</v>
      </c>
    </row>
    <row r="6237" spans="1:2" ht="15">
      <c r="A6237" s="113" t="s">
        <v>10542</v>
      </c>
      <c r="B6237" s="112" t="s">
        <v>11323</v>
      </c>
    </row>
    <row r="6238" spans="1:2" ht="15">
      <c r="A6238" s="113" t="s">
        <v>10543</v>
      </c>
      <c r="B6238" s="112" t="s">
        <v>11323</v>
      </c>
    </row>
    <row r="6239" spans="1:2" ht="15">
      <c r="A6239" s="113" t="s">
        <v>10544</v>
      </c>
      <c r="B6239" s="112" t="s">
        <v>11323</v>
      </c>
    </row>
    <row r="6240" spans="1:2" ht="15">
      <c r="A6240" s="113" t="s">
        <v>10545</v>
      </c>
      <c r="B6240" s="112" t="s">
        <v>11323</v>
      </c>
    </row>
    <row r="6241" spans="1:2" ht="15">
      <c r="A6241" s="113" t="s">
        <v>10546</v>
      </c>
      <c r="B6241" s="112" t="s">
        <v>11323</v>
      </c>
    </row>
    <row r="6242" spans="1:2" ht="15">
      <c r="A6242" s="113" t="s">
        <v>10547</v>
      </c>
      <c r="B6242" s="112" t="s">
        <v>11323</v>
      </c>
    </row>
    <row r="6243" spans="1:2" ht="15">
      <c r="A6243" s="113" t="s">
        <v>10548</v>
      </c>
      <c r="B6243" s="112" t="s">
        <v>11323</v>
      </c>
    </row>
    <row r="6244" spans="1:2" ht="15">
      <c r="A6244" s="113" t="s">
        <v>10549</v>
      </c>
      <c r="B6244" s="112" t="s">
        <v>11323</v>
      </c>
    </row>
    <row r="6245" spans="1:2" ht="15">
      <c r="A6245" s="113" t="s">
        <v>10550</v>
      </c>
      <c r="B6245" s="112" t="s">
        <v>11323</v>
      </c>
    </row>
    <row r="6246" spans="1:2" ht="15">
      <c r="A6246" s="113" t="s">
        <v>10551</v>
      </c>
      <c r="B6246" s="112" t="s">
        <v>11323</v>
      </c>
    </row>
    <row r="6247" spans="1:2" ht="15">
      <c r="A6247" s="113" t="s">
        <v>10552</v>
      </c>
      <c r="B6247" s="112" t="s">
        <v>11323</v>
      </c>
    </row>
    <row r="6248" spans="1:2" ht="15">
      <c r="A6248" s="113" t="s">
        <v>10553</v>
      </c>
      <c r="B6248" s="112" t="s">
        <v>11323</v>
      </c>
    </row>
    <row r="6249" spans="1:2" ht="15">
      <c r="A6249" s="113" t="s">
        <v>10554</v>
      </c>
      <c r="B6249" s="112" t="s">
        <v>11323</v>
      </c>
    </row>
    <row r="6250" spans="1:2" ht="15">
      <c r="A6250" s="113" t="s">
        <v>10555</v>
      </c>
      <c r="B6250" s="112" t="s">
        <v>11323</v>
      </c>
    </row>
    <row r="6251" spans="1:2" ht="15">
      <c r="A6251" s="113" t="s">
        <v>10556</v>
      </c>
      <c r="B6251" s="112" t="s">
        <v>11323</v>
      </c>
    </row>
    <row r="6252" spans="1:2" ht="15">
      <c r="A6252" s="113" t="s">
        <v>10557</v>
      </c>
      <c r="B6252" s="112" t="s">
        <v>11323</v>
      </c>
    </row>
    <row r="6253" spans="1:2" ht="15">
      <c r="A6253" s="113" t="s">
        <v>10558</v>
      </c>
      <c r="B6253" s="112" t="s">
        <v>11323</v>
      </c>
    </row>
    <row r="6254" spans="1:2" ht="15">
      <c r="A6254" s="113" t="s">
        <v>10559</v>
      </c>
      <c r="B6254" s="112" t="s">
        <v>11323</v>
      </c>
    </row>
    <row r="6255" spans="1:2" ht="15">
      <c r="A6255" s="113" t="s">
        <v>10560</v>
      </c>
      <c r="B6255" s="112" t="s">
        <v>11323</v>
      </c>
    </row>
    <row r="6256" spans="1:2" ht="15">
      <c r="A6256" s="113" t="s">
        <v>10561</v>
      </c>
      <c r="B6256" s="112" t="s">
        <v>11323</v>
      </c>
    </row>
    <row r="6257" spans="1:2" ht="15">
      <c r="A6257" s="113" t="s">
        <v>10562</v>
      </c>
      <c r="B6257" s="112" t="s">
        <v>11323</v>
      </c>
    </row>
    <row r="6258" spans="1:2" ht="15">
      <c r="A6258" s="113" t="s">
        <v>10563</v>
      </c>
      <c r="B6258" s="112" t="s">
        <v>11323</v>
      </c>
    </row>
    <row r="6259" spans="1:2" ht="15">
      <c r="A6259" s="113" t="s">
        <v>10564</v>
      </c>
      <c r="B6259" s="112" t="s">
        <v>11323</v>
      </c>
    </row>
    <row r="6260" spans="1:2" ht="15">
      <c r="A6260" s="113" t="s">
        <v>10565</v>
      </c>
      <c r="B6260" s="112" t="s">
        <v>11323</v>
      </c>
    </row>
    <row r="6261" spans="1:2" ht="15">
      <c r="A6261" s="113" t="s">
        <v>10566</v>
      </c>
      <c r="B6261" s="112" t="s">
        <v>11323</v>
      </c>
    </row>
    <row r="6262" spans="1:2" ht="15">
      <c r="A6262" s="113" t="s">
        <v>10567</v>
      </c>
      <c r="B6262" s="112" t="s">
        <v>11323</v>
      </c>
    </row>
    <row r="6263" spans="1:2" ht="15">
      <c r="A6263" s="113" t="s">
        <v>10568</v>
      </c>
      <c r="B6263" s="112" t="s">
        <v>11323</v>
      </c>
    </row>
    <row r="6264" spans="1:2" ht="15">
      <c r="A6264" s="113" t="s">
        <v>10569</v>
      </c>
      <c r="B6264" s="112" t="s">
        <v>11323</v>
      </c>
    </row>
    <row r="6265" spans="1:2" ht="15">
      <c r="A6265" s="113" t="s">
        <v>10570</v>
      </c>
      <c r="B6265" s="112" t="s">
        <v>11323</v>
      </c>
    </row>
    <row r="6266" spans="1:2" ht="15">
      <c r="A6266" s="113" t="s">
        <v>10571</v>
      </c>
      <c r="B6266" s="112" t="s">
        <v>11323</v>
      </c>
    </row>
    <row r="6267" spans="1:2" ht="15">
      <c r="A6267" s="113" t="s">
        <v>10572</v>
      </c>
      <c r="B6267" s="112" t="s">
        <v>11323</v>
      </c>
    </row>
    <row r="6268" spans="1:2" ht="15">
      <c r="A6268" s="113" t="s">
        <v>10573</v>
      </c>
      <c r="B6268" s="112" t="s">
        <v>11323</v>
      </c>
    </row>
    <row r="6269" spans="1:2" ht="15">
      <c r="A6269" s="113" t="s">
        <v>10574</v>
      </c>
      <c r="B6269" s="112" t="s">
        <v>11323</v>
      </c>
    </row>
    <row r="6270" spans="1:2" ht="15">
      <c r="A6270" s="113" t="s">
        <v>10575</v>
      </c>
      <c r="B6270" s="112" t="s">
        <v>11323</v>
      </c>
    </row>
    <row r="6271" spans="1:2" ht="15">
      <c r="A6271" s="113" t="s">
        <v>10576</v>
      </c>
      <c r="B6271" s="112" t="s">
        <v>11323</v>
      </c>
    </row>
    <row r="6272" spans="1:2" ht="15">
      <c r="A6272" s="113" t="s">
        <v>10577</v>
      </c>
      <c r="B6272" s="112" t="s">
        <v>11323</v>
      </c>
    </row>
    <row r="6273" spans="1:2" ht="15">
      <c r="A6273" s="113" t="s">
        <v>10578</v>
      </c>
      <c r="B6273" s="112" t="s">
        <v>11323</v>
      </c>
    </row>
    <row r="6274" spans="1:2" ht="15">
      <c r="A6274" s="113" t="s">
        <v>10579</v>
      </c>
      <c r="B6274" s="112" t="s">
        <v>11323</v>
      </c>
    </row>
    <row r="6275" spans="1:2" ht="15">
      <c r="A6275" s="113" t="s">
        <v>10580</v>
      </c>
      <c r="B6275" s="112" t="s">
        <v>11323</v>
      </c>
    </row>
    <row r="6276" spans="1:2" ht="15">
      <c r="A6276" s="113" t="s">
        <v>10581</v>
      </c>
      <c r="B6276" s="112" t="s">
        <v>11323</v>
      </c>
    </row>
    <row r="6277" spans="1:2" ht="15">
      <c r="A6277" s="113" t="s">
        <v>10582</v>
      </c>
      <c r="B6277" s="112" t="s">
        <v>11323</v>
      </c>
    </row>
    <row r="6278" spans="1:2" ht="15">
      <c r="A6278" s="113" t="s">
        <v>10583</v>
      </c>
      <c r="B6278" s="112" t="s">
        <v>11323</v>
      </c>
    </row>
    <row r="6279" spans="1:2" ht="15">
      <c r="A6279" s="113" t="s">
        <v>10584</v>
      </c>
      <c r="B6279" s="112" t="s">
        <v>11323</v>
      </c>
    </row>
    <row r="6280" spans="1:2" ht="15">
      <c r="A6280" s="113" t="s">
        <v>10585</v>
      </c>
      <c r="B6280" s="112" t="s">
        <v>11323</v>
      </c>
    </row>
    <row r="6281" spans="1:2" ht="15">
      <c r="A6281" s="113" t="s">
        <v>10586</v>
      </c>
      <c r="B6281" s="112" t="s">
        <v>11323</v>
      </c>
    </row>
    <row r="6282" spans="1:2" ht="15">
      <c r="A6282" s="113" t="s">
        <v>10587</v>
      </c>
      <c r="B6282" s="112" t="s">
        <v>11323</v>
      </c>
    </row>
    <row r="6283" spans="1:2" ht="15">
      <c r="A6283" s="113" t="s">
        <v>10588</v>
      </c>
      <c r="B6283" s="112" t="s">
        <v>11323</v>
      </c>
    </row>
    <row r="6284" spans="1:2" ht="15">
      <c r="A6284" s="113" t="s">
        <v>10589</v>
      </c>
      <c r="B6284" s="112" t="s">
        <v>11323</v>
      </c>
    </row>
    <row r="6285" spans="1:2" ht="15">
      <c r="A6285" s="113" t="s">
        <v>10590</v>
      </c>
      <c r="B6285" s="112" t="s">
        <v>11323</v>
      </c>
    </row>
    <row r="6286" spans="1:2" ht="15">
      <c r="A6286" s="113" t="s">
        <v>10591</v>
      </c>
      <c r="B6286" s="112" t="s">
        <v>11323</v>
      </c>
    </row>
    <row r="6287" spans="1:2" ht="15">
      <c r="A6287" s="113" t="s">
        <v>10592</v>
      </c>
      <c r="B6287" s="112" t="s">
        <v>11323</v>
      </c>
    </row>
    <row r="6288" spans="1:2" ht="15">
      <c r="A6288" s="113" t="s">
        <v>10593</v>
      </c>
      <c r="B6288" s="112" t="s">
        <v>11323</v>
      </c>
    </row>
    <row r="6289" spans="1:2" ht="15">
      <c r="A6289" s="113" t="s">
        <v>10594</v>
      </c>
      <c r="B6289" s="112" t="s">
        <v>11323</v>
      </c>
    </row>
    <row r="6290" spans="1:2" ht="15">
      <c r="A6290" s="113" t="s">
        <v>10595</v>
      </c>
      <c r="B6290" s="112" t="s">
        <v>11323</v>
      </c>
    </row>
    <row r="6291" spans="1:2" ht="15">
      <c r="A6291" s="113" t="s">
        <v>10596</v>
      </c>
      <c r="B6291" s="112" t="s">
        <v>11323</v>
      </c>
    </row>
    <row r="6292" spans="1:2" ht="15">
      <c r="A6292" s="113" t="s">
        <v>10597</v>
      </c>
      <c r="B6292" s="112" t="s">
        <v>11323</v>
      </c>
    </row>
    <row r="6293" spans="1:2" ht="15">
      <c r="A6293" s="113" t="s">
        <v>10598</v>
      </c>
      <c r="B6293" s="112" t="s">
        <v>11323</v>
      </c>
    </row>
    <row r="6294" spans="1:2" ht="15">
      <c r="A6294" s="113" t="s">
        <v>10599</v>
      </c>
      <c r="B6294" s="112" t="s">
        <v>11323</v>
      </c>
    </row>
    <row r="6295" spans="1:2" ht="15">
      <c r="A6295" s="113" t="s">
        <v>10600</v>
      </c>
      <c r="B6295" s="112" t="s">
        <v>11323</v>
      </c>
    </row>
    <row r="6296" spans="1:2" ht="15">
      <c r="A6296" s="113" t="s">
        <v>10601</v>
      </c>
      <c r="B6296" s="112" t="s">
        <v>11323</v>
      </c>
    </row>
    <row r="6297" spans="1:2" ht="15">
      <c r="A6297" s="113" t="s">
        <v>10602</v>
      </c>
      <c r="B6297" s="112" t="s">
        <v>11323</v>
      </c>
    </row>
    <row r="6298" spans="1:2" ht="15">
      <c r="A6298" s="113" t="s">
        <v>10603</v>
      </c>
      <c r="B6298" s="112" t="s">
        <v>11323</v>
      </c>
    </row>
    <row r="6299" spans="1:2" ht="15">
      <c r="A6299" s="113" t="s">
        <v>10604</v>
      </c>
      <c r="B6299" s="112" t="s">
        <v>11323</v>
      </c>
    </row>
    <row r="6300" spans="1:2" ht="15">
      <c r="A6300" s="113" t="s">
        <v>10605</v>
      </c>
      <c r="B6300" s="112" t="s">
        <v>11323</v>
      </c>
    </row>
    <row r="6301" spans="1:2" ht="15">
      <c r="A6301" s="113" t="s">
        <v>10606</v>
      </c>
      <c r="B6301" s="112" t="s">
        <v>11323</v>
      </c>
    </row>
    <row r="6302" spans="1:2" ht="15">
      <c r="A6302" s="113" t="s">
        <v>10607</v>
      </c>
      <c r="B6302" s="112" t="s">
        <v>11323</v>
      </c>
    </row>
    <row r="6303" spans="1:2" ht="15">
      <c r="A6303" s="113" t="s">
        <v>10608</v>
      </c>
      <c r="B6303" s="112" t="s">
        <v>11323</v>
      </c>
    </row>
    <row r="6304" spans="1:2" ht="15">
      <c r="A6304" s="113" t="s">
        <v>10609</v>
      </c>
      <c r="B6304" s="112" t="s">
        <v>11323</v>
      </c>
    </row>
    <row r="6305" spans="1:2" ht="15">
      <c r="A6305" s="113" t="s">
        <v>10610</v>
      </c>
      <c r="B6305" s="112" t="s">
        <v>11323</v>
      </c>
    </row>
    <row r="6306" spans="1:2" ht="15">
      <c r="A6306" s="113" t="s">
        <v>10611</v>
      </c>
      <c r="B6306" s="112" t="s">
        <v>11323</v>
      </c>
    </row>
    <row r="6307" spans="1:2" ht="15">
      <c r="A6307" s="113" t="s">
        <v>10612</v>
      </c>
      <c r="B6307" s="112" t="s">
        <v>11323</v>
      </c>
    </row>
    <row r="6308" spans="1:2" ht="15">
      <c r="A6308" s="113" t="s">
        <v>10613</v>
      </c>
      <c r="B6308" s="112" t="s">
        <v>11323</v>
      </c>
    </row>
    <row r="6309" spans="1:2" ht="15">
      <c r="A6309" s="113" t="s">
        <v>10614</v>
      </c>
      <c r="B6309" s="112" t="s">
        <v>11323</v>
      </c>
    </row>
    <row r="6310" spans="1:2" ht="15">
      <c r="A6310" s="113" t="s">
        <v>10615</v>
      </c>
      <c r="B6310" s="112" t="s">
        <v>11323</v>
      </c>
    </row>
    <row r="6311" spans="1:2" ht="15">
      <c r="A6311" s="113" t="s">
        <v>10616</v>
      </c>
      <c r="B6311" s="112" t="s">
        <v>11323</v>
      </c>
    </row>
    <row r="6312" spans="1:2" ht="15">
      <c r="A6312" s="113" t="s">
        <v>10617</v>
      </c>
      <c r="B6312" s="112" t="s">
        <v>11323</v>
      </c>
    </row>
    <row r="6313" spans="1:2" ht="15">
      <c r="A6313" s="113" t="s">
        <v>10618</v>
      </c>
      <c r="B6313" s="112" t="s">
        <v>11323</v>
      </c>
    </row>
    <row r="6314" spans="1:2" ht="15">
      <c r="A6314" s="113" t="s">
        <v>10619</v>
      </c>
      <c r="B6314" s="112" t="s">
        <v>11323</v>
      </c>
    </row>
    <row r="6315" spans="1:2" ht="15">
      <c r="A6315" s="113" t="s">
        <v>10620</v>
      </c>
      <c r="B6315" s="112" t="s">
        <v>11323</v>
      </c>
    </row>
    <row r="6316" spans="1:2" ht="15">
      <c r="A6316" s="113" t="s">
        <v>10621</v>
      </c>
      <c r="B6316" s="112" t="s">
        <v>11323</v>
      </c>
    </row>
    <row r="6317" spans="1:2" ht="15">
      <c r="A6317" s="113" t="s">
        <v>10622</v>
      </c>
      <c r="B6317" s="112" t="s">
        <v>11323</v>
      </c>
    </row>
    <row r="6318" spans="1:2" ht="15">
      <c r="A6318" s="113" t="s">
        <v>10623</v>
      </c>
      <c r="B6318" s="112" t="s">
        <v>11323</v>
      </c>
    </row>
    <row r="6319" spans="1:2" ht="15">
      <c r="A6319" s="113" t="s">
        <v>10624</v>
      </c>
      <c r="B6319" s="112" t="s">
        <v>11323</v>
      </c>
    </row>
    <row r="6320" spans="1:2" ht="15">
      <c r="A6320" s="113" t="s">
        <v>10625</v>
      </c>
      <c r="B6320" s="112" t="s">
        <v>11323</v>
      </c>
    </row>
    <row r="6321" spans="1:2" ht="15">
      <c r="A6321" s="113" t="s">
        <v>10626</v>
      </c>
      <c r="B6321" s="112" t="s">
        <v>11323</v>
      </c>
    </row>
    <row r="6322" spans="1:2" ht="15">
      <c r="A6322" s="113" t="s">
        <v>10627</v>
      </c>
      <c r="B6322" s="112" t="s">
        <v>11323</v>
      </c>
    </row>
    <row r="6323" spans="1:2" ht="15">
      <c r="A6323" s="113" t="s">
        <v>10628</v>
      </c>
      <c r="B6323" s="112" t="s">
        <v>11323</v>
      </c>
    </row>
    <row r="6324" spans="1:2" ht="15">
      <c r="A6324" s="113" t="s">
        <v>10629</v>
      </c>
      <c r="B6324" s="112" t="s">
        <v>11323</v>
      </c>
    </row>
    <row r="6325" spans="1:2" ht="15">
      <c r="A6325" s="113" t="s">
        <v>10630</v>
      </c>
      <c r="B6325" s="112" t="s">
        <v>11323</v>
      </c>
    </row>
    <row r="6326" spans="1:2" ht="15">
      <c r="A6326" s="113" t="s">
        <v>10631</v>
      </c>
      <c r="B6326" s="112" t="s">
        <v>11323</v>
      </c>
    </row>
    <row r="6327" spans="1:2" ht="15">
      <c r="A6327" s="113" t="s">
        <v>10632</v>
      </c>
      <c r="B6327" s="112" t="s">
        <v>11323</v>
      </c>
    </row>
    <row r="6328" spans="1:2" ht="15">
      <c r="A6328" s="113" t="s">
        <v>10633</v>
      </c>
      <c r="B6328" s="112" t="s">
        <v>11323</v>
      </c>
    </row>
    <row r="6329" spans="1:2" ht="15">
      <c r="A6329" s="113" t="s">
        <v>10634</v>
      </c>
      <c r="B6329" s="112" t="s">
        <v>11323</v>
      </c>
    </row>
    <row r="6330" spans="1:2" ht="15">
      <c r="A6330" s="113" t="s">
        <v>10635</v>
      </c>
      <c r="B6330" s="112" t="s">
        <v>11323</v>
      </c>
    </row>
    <row r="6331" spans="1:2" ht="15">
      <c r="A6331" s="113" t="s">
        <v>10636</v>
      </c>
      <c r="B6331" s="112" t="s">
        <v>11323</v>
      </c>
    </row>
    <row r="6332" spans="1:2" ht="15">
      <c r="A6332" s="113" t="s">
        <v>10637</v>
      </c>
      <c r="B6332" s="112" t="s">
        <v>11323</v>
      </c>
    </row>
    <row r="6333" spans="1:2" ht="15">
      <c r="A6333" s="113" t="s">
        <v>10638</v>
      </c>
      <c r="B6333" s="112" t="s">
        <v>11323</v>
      </c>
    </row>
    <row r="6334" spans="1:2" ht="15">
      <c r="A6334" s="113" t="s">
        <v>10639</v>
      </c>
      <c r="B6334" s="112" t="s">
        <v>11323</v>
      </c>
    </row>
    <row r="6335" spans="1:2" ht="15">
      <c r="A6335" s="113" t="s">
        <v>10640</v>
      </c>
      <c r="B6335" s="112" t="s">
        <v>11323</v>
      </c>
    </row>
    <row r="6336" spans="1:2" ht="15">
      <c r="A6336" s="113" t="s">
        <v>10641</v>
      </c>
      <c r="B6336" s="112" t="s">
        <v>11323</v>
      </c>
    </row>
    <row r="6337" spans="1:2" ht="15">
      <c r="A6337" s="113" t="s">
        <v>10642</v>
      </c>
      <c r="B6337" s="112" t="s">
        <v>11323</v>
      </c>
    </row>
    <row r="6338" spans="1:2" ht="15">
      <c r="A6338" s="113" t="s">
        <v>10643</v>
      </c>
      <c r="B6338" s="112" t="s">
        <v>11323</v>
      </c>
    </row>
    <row r="6339" spans="1:2" ht="15">
      <c r="A6339" s="113" t="s">
        <v>10644</v>
      </c>
      <c r="B6339" s="112" t="s">
        <v>11323</v>
      </c>
    </row>
    <row r="6340" spans="1:2" ht="15">
      <c r="A6340" s="113" t="s">
        <v>10645</v>
      </c>
      <c r="B6340" s="112" t="s">
        <v>11323</v>
      </c>
    </row>
    <row r="6341" spans="1:2" ht="15">
      <c r="A6341" s="113" t="s">
        <v>10646</v>
      </c>
      <c r="B6341" s="112" t="s">
        <v>11323</v>
      </c>
    </row>
    <row r="6342" spans="1:2" ht="15">
      <c r="A6342" s="113" t="s">
        <v>10647</v>
      </c>
      <c r="B6342" s="112" t="s">
        <v>11323</v>
      </c>
    </row>
    <row r="6343" spans="1:2" ht="15">
      <c r="A6343" s="113" t="s">
        <v>10648</v>
      </c>
      <c r="B6343" s="112" t="s">
        <v>11323</v>
      </c>
    </row>
    <row r="6344" spans="1:2" ht="15">
      <c r="A6344" s="113" t="s">
        <v>10649</v>
      </c>
      <c r="B6344" s="112" t="s">
        <v>11323</v>
      </c>
    </row>
    <row r="6345" spans="1:2" ht="15">
      <c r="A6345" s="113" t="s">
        <v>10650</v>
      </c>
      <c r="B6345" s="112" t="s">
        <v>11323</v>
      </c>
    </row>
    <row r="6346" spans="1:2" ht="15">
      <c r="A6346" s="113" t="s">
        <v>10651</v>
      </c>
      <c r="B6346" s="112" t="s">
        <v>11323</v>
      </c>
    </row>
    <row r="6347" spans="1:2" ht="15">
      <c r="A6347" s="113" t="s">
        <v>10652</v>
      </c>
      <c r="B6347" s="112" t="s">
        <v>11323</v>
      </c>
    </row>
    <row r="6348" spans="1:2" ht="15">
      <c r="A6348" s="113" t="s">
        <v>10653</v>
      </c>
      <c r="B6348" s="112" t="s">
        <v>11323</v>
      </c>
    </row>
    <row r="6349" spans="1:2" ht="15">
      <c r="A6349" s="113" t="s">
        <v>10654</v>
      </c>
      <c r="B6349" s="112" t="s">
        <v>11323</v>
      </c>
    </row>
    <row r="6350" spans="1:2" ht="15">
      <c r="A6350" s="113" t="s">
        <v>10655</v>
      </c>
      <c r="B6350" s="112" t="s">
        <v>11323</v>
      </c>
    </row>
    <row r="6351" spans="1:2" ht="15">
      <c r="A6351" s="113" t="s">
        <v>10656</v>
      </c>
      <c r="B6351" s="112" t="s">
        <v>11323</v>
      </c>
    </row>
    <row r="6352" spans="1:2" ht="15">
      <c r="A6352" s="113" t="s">
        <v>10657</v>
      </c>
      <c r="B6352" s="112" t="s">
        <v>11323</v>
      </c>
    </row>
    <row r="6353" spans="1:2" ht="15">
      <c r="A6353" s="113" t="s">
        <v>10658</v>
      </c>
      <c r="B6353" s="112" t="s">
        <v>11323</v>
      </c>
    </row>
    <row r="6354" spans="1:2" ht="15">
      <c r="A6354" s="113" t="s">
        <v>10659</v>
      </c>
      <c r="B6354" s="112" t="s">
        <v>11323</v>
      </c>
    </row>
    <row r="6355" spans="1:2" ht="15">
      <c r="A6355" s="113" t="s">
        <v>10660</v>
      </c>
      <c r="B6355" s="112" t="s">
        <v>11323</v>
      </c>
    </row>
    <row r="6356" spans="1:2" ht="15">
      <c r="A6356" s="113" t="s">
        <v>10661</v>
      </c>
      <c r="B6356" s="112" t="s">
        <v>11323</v>
      </c>
    </row>
    <row r="6357" spans="1:2" ht="15">
      <c r="A6357" s="113" t="s">
        <v>10662</v>
      </c>
      <c r="B6357" s="112" t="s">
        <v>11323</v>
      </c>
    </row>
    <row r="6358" spans="1:2" ht="15">
      <c r="A6358" s="113" t="s">
        <v>10663</v>
      </c>
      <c r="B6358" s="112" t="s">
        <v>11323</v>
      </c>
    </row>
    <row r="6359" spans="1:2" ht="15">
      <c r="A6359" s="113" t="s">
        <v>10664</v>
      </c>
      <c r="B6359" s="112" t="s">
        <v>11323</v>
      </c>
    </row>
    <row r="6360" spans="1:2" ht="15">
      <c r="A6360" s="113" t="s">
        <v>10665</v>
      </c>
      <c r="B6360" s="112" t="s">
        <v>11323</v>
      </c>
    </row>
    <row r="6361" spans="1:2" ht="15">
      <c r="A6361" s="113" t="s">
        <v>10666</v>
      </c>
      <c r="B6361" s="112" t="s">
        <v>11323</v>
      </c>
    </row>
    <row r="6362" spans="1:2" ht="15">
      <c r="A6362" s="113" t="s">
        <v>10667</v>
      </c>
      <c r="B6362" s="112" t="s">
        <v>11323</v>
      </c>
    </row>
    <row r="6363" spans="1:2" ht="15">
      <c r="A6363" s="113" t="s">
        <v>10668</v>
      </c>
      <c r="B6363" s="112" t="s">
        <v>11323</v>
      </c>
    </row>
    <row r="6364" spans="1:2" ht="15">
      <c r="A6364" s="113" t="s">
        <v>10669</v>
      </c>
      <c r="B6364" s="112" t="s">
        <v>11323</v>
      </c>
    </row>
    <row r="6365" spans="1:2" ht="15">
      <c r="A6365" s="113" t="s">
        <v>10670</v>
      </c>
      <c r="B6365" s="112" t="s">
        <v>11323</v>
      </c>
    </row>
    <row r="6366" spans="1:2" ht="15">
      <c r="A6366" s="113" t="s">
        <v>10671</v>
      </c>
      <c r="B6366" s="112" t="s">
        <v>11323</v>
      </c>
    </row>
    <row r="6367" spans="1:2" ht="15">
      <c r="A6367" s="113" t="s">
        <v>10672</v>
      </c>
      <c r="B6367" s="112" t="s">
        <v>11323</v>
      </c>
    </row>
    <row r="6368" spans="1:2" ht="15">
      <c r="A6368" s="113" t="s">
        <v>10673</v>
      </c>
      <c r="B6368" s="112" t="s">
        <v>11323</v>
      </c>
    </row>
    <row r="6369" spans="1:2" ht="15">
      <c r="A6369" s="113" t="s">
        <v>10674</v>
      </c>
      <c r="B6369" s="112" t="s">
        <v>11323</v>
      </c>
    </row>
    <row r="6370" spans="1:2" ht="15">
      <c r="A6370" s="113" t="s">
        <v>10675</v>
      </c>
      <c r="B6370" s="112" t="s">
        <v>11323</v>
      </c>
    </row>
    <row r="6371" spans="1:2" ht="15">
      <c r="A6371" s="113" t="s">
        <v>10676</v>
      </c>
      <c r="B6371" s="112" t="s">
        <v>11323</v>
      </c>
    </row>
    <row r="6372" spans="1:2" ht="15">
      <c r="A6372" s="113" t="s">
        <v>10677</v>
      </c>
      <c r="B6372" s="112" t="s">
        <v>11323</v>
      </c>
    </row>
    <row r="6373" spans="1:2" ht="15">
      <c r="A6373" s="113" t="s">
        <v>10678</v>
      </c>
      <c r="B6373" s="112" t="s">
        <v>11323</v>
      </c>
    </row>
    <row r="6374" spans="1:2" ht="15">
      <c r="A6374" s="113" t="s">
        <v>10679</v>
      </c>
      <c r="B6374" s="112" t="s">
        <v>11323</v>
      </c>
    </row>
    <row r="6375" spans="1:2" ht="15">
      <c r="A6375" s="113" t="s">
        <v>10680</v>
      </c>
      <c r="B6375" s="112" t="s">
        <v>11323</v>
      </c>
    </row>
    <row r="6376" spans="1:2" ht="15">
      <c r="A6376" s="113" t="s">
        <v>10681</v>
      </c>
      <c r="B6376" s="112" t="s">
        <v>11323</v>
      </c>
    </row>
    <row r="6377" spans="1:2" ht="15">
      <c r="A6377" s="113" t="s">
        <v>10682</v>
      </c>
      <c r="B6377" s="112" t="s">
        <v>11323</v>
      </c>
    </row>
    <row r="6378" spans="1:2" ht="15">
      <c r="A6378" s="113" t="s">
        <v>10683</v>
      </c>
      <c r="B6378" s="112" t="s">
        <v>11323</v>
      </c>
    </row>
    <row r="6379" spans="1:2" ht="15">
      <c r="A6379" s="113" t="s">
        <v>10684</v>
      </c>
      <c r="B6379" s="112" t="s">
        <v>11323</v>
      </c>
    </row>
    <row r="6380" spans="1:2" ht="15">
      <c r="A6380" s="113" t="s">
        <v>10685</v>
      </c>
      <c r="B6380" s="112" t="s">
        <v>11323</v>
      </c>
    </row>
    <row r="6381" spans="1:2" ht="15">
      <c r="A6381" s="113" t="s">
        <v>10686</v>
      </c>
      <c r="B6381" s="112" t="s">
        <v>11323</v>
      </c>
    </row>
    <row r="6382" spans="1:2" ht="15">
      <c r="A6382" s="113" t="s">
        <v>10687</v>
      </c>
      <c r="B6382" s="112" t="s">
        <v>11323</v>
      </c>
    </row>
    <row r="6383" spans="1:2" ht="15">
      <c r="A6383" s="113" t="s">
        <v>10688</v>
      </c>
      <c r="B6383" s="112" t="s">
        <v>11323</v>
      </c>
    </row>
    <row r="6384" spans="1:2" ht="15">
      <c r="A6384" s="113" t="s">
        <v>10689</v>
      </c>
      <c r="B6384" s="112" t="s">
        <v>11323</v>
      </c>
    </row>
    <row r="6385" spans="1:2" ht="15">
      <c r="A6385" s="113" t="s">
        <v>10690</v>
      </c>
      <c r="B6385" s="112" t="s">
        <v>11323</v>
      </c>
    </row>
    <row r="6386" spans="1:2" ht="15">
      <c r="A6386" s="113" t="s">
        <v>10691</v>
      </c>
      <c r="B6386" s="112" t="s">
        <v>11323</v>
      </c>
    </row>
    <row r="6387" spans="1:2" ht="15">
      <c r="A6387" s="113" t="s">
        <v>10692</v>
      </c>
      <c r="B6387" s="112" t="s">
        <v>11323</v>
      </c>
    </row>
    <row r="6388" spans="1:2" ht="15">
      <c r="A6388" s="113" t="s">
        <v>10693</v>
      </c>
      <c r="B6388" s="112" t="s">
        <v>11323</v>
      </c>
    </row>
    <row r="6389" spans="1:2" ht="15">
      <c r="A6389" s="113" t="s">
        <v>10694</v>
      </c>
      <c r="B6389" s="112" t="s">
        <v>11323</v>
      </c>
    </row>
    <row r="6390" spans="1:2" ht="15">
      <c r="A6390" s="113" t="s">
        <v>10695</v>
      </c>
      <c r="B6390" s="112" t="s">
        <v>11323</v>
      </c>
    </row>
    <row r="6391" spans="1:2" ht="15">
      <c r="A6391" s="113" t="s">
        <v>10696</v>
      </c>
      <c r="B6391" s="112" t="s">
        <v>11323</v>
      </c>
    </row>
    <row r="6392" spans="1:2" ht="15">
      <c r="A6392" s="113" t="s">
        <v>10697</v>
      </c>
      <c r="B6392" s="112" t="s">
        <v>11323</v>
      </c>
    </row>
    <row r="6393" spans="1:2" ht="15">
      <c r="A6393" s="113" t="s">
        <v>10698</v>
      </c>
      <c r="B6393" s="112" t="s">
        <v>11323</v>
      </c>
    </row>
    <row r="6394" spans="1:2" ht="15">
      <c r="A6394" s="113" t="s">
        <v>10699</v>
      </c>
      <c r="B6394" s="112" t="s">
        <v>11323</v>
      </c>
    </row>
    <row r="6395" spans="1:2" ht="15">
      <c r="A6395" s="113" t="s">
        <v>10700</v>
      </c>
      <c r="B6395" s="112" t="s">
        <v>11323</v>
      </c>
    </row>
    <row r="6396" spans="1:2" ht="15">
      <c r="A6396" s="113" t="s">
        <v>10701</v>
      </c>
      <c r="B6396" s="112" t="s">
        <v>11323</v>
      </c>
    </row>
    <row r="6397" spans="1:2" ht="15">
      <c r="A6397" s="113" t="s">
        <v>10702</v>
      </c>
      <c r="B6397" s="112" t="s">
        <v>11323</v>
      </c>
    </row>
    <row r="6398" spans="1:2" ht="15">
      <c r="A6398" s="113" t="s">
        <v>10703</v>
      </c>
      <c r="B6398" s="112" t="s">
        <v>11323</v>
      </c>
    </row>
    <row r="6399" spans="1:2" ht="15">
      <c r="A6399" s="113" t="s">
        <v>10704</v>
      </c>
      <c r="B6399" s="112" t="s">
        <v>11323</v>
      </c>
    </row>
    <row r="6400" spans="1:2" ht="15">
      <c r="A6400" s="113" t="s">
        <v>10705</v>
      </c>
      <c r="B6400" s="112" t="s">
        <v>11323</v>
      </c>
    </row>
    <row r="6401" spans="1:2" ht="15">
      <c r="A6401" s="113" t="s">
        <v>10706</v>
      </c>
      <c r="B6401" s="112" t="s">
        <v>11323</v>
      </c>
    </row>
    <row r="6402" spans="1:2" ht="15">
      <c r="A6402" s="113" t="s">
        <v>10707</v>
      </c>
      <c r="B6402" s="112" t="s">
        <v>11323</v>
      </c>
    </row>
    <row r="6403" spans="1:2" ht="15">
      <c r="A6403" s="113" t="s">
        <v>10708</v>
      </c>
      <c r="B6403" s="112" t="s">
        <v>11323</v>
      </c>
    </row>
    <row r="6404" spans="1:2" ht="15">
      <c r="A6404" s="113" t="s">
        <v>10709</v>
      </c>
      <c r="B6404" s="112" t="s">
        <v>11323</v>
      </c>
    </row>
    <row r="6405" spans="1:2" ht="15">
      <c r="A6405" s="113" t="s">
        <v>10710</v>
      </c>
      <c r="B6405" s="112" t="s">
        <v>11323</v>
      </c>
    </row>
    <row r="6406" spans="1:2" ht="15">
      <c r="A6406" s="113" t="s">
        <v>10711</v>
      </c>
      <c r="B6406" s="112" t="s">
        <v>11323</v>
      </c>
    </row>
    <row r="6407" spans="1:2" ht="15">
      <c r="A6407" s="113" t="s">
        <v>10712</v>
      </c>
      <c r="B6407" s="112" t="s">
        <v>11323</v>
      </c>
    </row>
    <row r="6408" spans="1:2" ht="15">
      <c r="A6408" s="113" t="s">
        <v>10713</v>
      </c>
      <c r="B6408" s="112" t="s">
        <v>11323</v>
      </c>
    </row>
    <row r="6409" spans="1:2" ht="15">
      <c r="A6409" s="113" t="s">
        <v>10714</v>
      </c>
      <c r="B6409" s="112" t="s">
        <v>11323</v>
      </c>
    </row>
    <row r="6410" spans="1:2" ht="15">
      <c r="A6410" s="113" t="s">
        <v>10715</v>
      </c>
      <c r="B6410" s="112" t="s">
        <v>11323</v>
      </c>
    </row>
    <row r="6411" spans="1:2" ht="15">
      <c r="A6411" s="113" t="s">
        <v>10716</v>
      </c>
      <c r="B6411" s="112" t="s">
        <v>11323</v>
      </c>
    </row>
    <row r="6412" spans="1:2" ht="15">
      <c r="A6412" s="113" t="s">
        <v>10717</v>
      </c>
      <c r="B6412" s="112" t="s">
        <v>11323</v>
      </c>
    </row>
    <row r="6413" spans="1:2" ht="15">
      <c r="A6413" s="113" t="s">
        <v>10718</v>
      </c>
      <c r="B6413" s="112" t="s">
        <v>11323</v>
      </c>
    </row>
    <row r="6414" spans="1:2" ht="15">
      <c r="A6414" s="113" t="s">
        <v>10719</v>
      </c>
      <c r="B6414" s="112" t="s">
        <v>11323</v>
      </c>
    </row>
    <row r="6415" spans="1:2" ht="15">
      <c r="A6415" s="113" t="s">
        <v>10720</v>
      </c>
      <c r="B6415" s="112" t="s">
        <v>11323</v>
      </c>
    </row>
    <row r="6416" spans="1:2" ht="15">
      <c r="A6416" s="113" t="s">
        <v>10721</v>
      </c>
      <c r="B6416" s="112" t="s">
        <v>11323</v>
      </c>
    </row>
    <row r="6417" spans="1:2" ht="15">
      <c r="A6417" s="113" t="s">
        <v>10722</v>
      </c>
      <c r="B6417" s="112" t="s">
        <v>11323</v>
      </c>
    </row>
    <row r="6418" spans="1:2" ht="15">
      <c r="A6418" s="113" t="s">
        <v>10723</v>
      </c>
      <c r="B6418" s="112" t="s">
        <v>11323</v>
      </c>
    </row>
    <row r="6419" spans="1:2" ht="15">
      <c r="A6419" s="113" t="s">
        <v>10724</v>
      </c>
      <c r="B6419" s="112" t="s">
        <v>11323</v>
      </c>
    </row>
    <row r="6420" spans="1:2" ht="15">
      <c r="A6420" s="113" t="s">
        <v>10725</v>
      </c>
      <c r="B6420" s="112" t="s">
        <v>11323</v>
      </c>
    </row>
    <row r="6421" spans="1:2" ht="15">
      <c r="A6421" s="113" t="s">
        <v>10726</v>
      </c>
      <c r="B6421" s="112" t="s">
        <v>11323</v>
      </c>
    </row>
    <row r="6422" spans="1:2" ht="15">
      <c r="A6422" s="113" t="s">
        <v>10727</v>
      </c>
      <c r="B6422" s="112" t="s">
        <v>11323</v>
      </c>
    </row>
    <row r="6423" spans="1:2" ht="15">
      <c r="A6423" s="113" t="s">
        <v>10728</v>
      </c>
      <c r="B6423" s="112" t="s">
        <v>11323</v>
      </c>
    </row>
    <row r="6424" spans="1:2" ht="15">
      <c r="A6424" s="113" t="s">
        <v>10729</v>
      </c>
      <c r="B6424" s="112" t="s">
        <v>11323</v>
      </c>
    </row>
    <row r="6425" spans="1:2" ht="15">
      <c r="A6425" s="113" t="s">
        <v>10730</v>
      </c>
      <c r="B6425" s="112" t="s">
        <v>11323</v>
      </c>
    </row>
    <row r="6426" spans="1:2" ht="15">
      <c r="A6426" s="113" t="s">
        <v>10731</v>
      </c>
      <c r="B6426" s="112" t="s">
        <v>11323</v>
      </c>
    </row>
    <row r="6427" spans="1:2" ht="15">
      <c r="A6427" s="113" t="s">
        <v>10732</v>
      </c>
      <c r="B6427" s="112" t="s">
        <v>11323</v>
      </c>
    </row>
    <row r="6428" spans="1:2" ht="15">
      <c r="A6428" s="113" t="s">
        <v>10733</v>
      </c>
      <c r="B6428" s="112" t="s">
        <v>11323</v>
      </c>
    </row>
    <row r="6429" spans="1:2" ht="15">
      <c r="A6429" s="113" t="s">
        <v>10734</v>
      </c>
      <c r="B6429" s="112" t="s">
        <v>11323</v>
      </c>
    </row>
    <row r="6430" spans="1:2" ht="15">
      <c r="A6430" s="113" t="s">
        <v>10735</v>
      </c>
      <c r="B6430" s="112" t="s">
        <v>11323</v>
      </c>
    </row>
    <row r="6431" spans="1:2" ht="15">
      <c r="A6431" s="113" t="s">
        <v>10736</v>
      </c>
      <c r="B6431" s="112" t="s">
        <v>11323</v>
      </c>
    </row>
    <row r="6432" spans="1:2" ht="15">
      <c r="A6432" s="113" t="s">
        <v>10737</v>
      </c>
      <c r="B6432" s="112" t="s">
        <v>11323</v>
      </c>
    </row>
    <row r="6433" spans="1:2" ht="15">
      <c r="A6433" s="113" t="s">
        <v>10738</v>
      </c>
      <c r="B6433" s="112" t="s">
        <v>11323</v>
      </c>
    </row>
    <row r="6434" spans="1:2" ht="15">
      <c r="A6434" s="113" t="s">
        <v>10739</v>
      </c>
      <c r="B6434" s="112" t="s">
        <v>11323</v>
      </c>
    </row>
    <row r="6435" spans="1:2" ht="15">
      <c r="A6435" s="113" t="s">
        <v>10740</v>
      </c>
      <c r="B6435" s="112" t="s">
        <v>11323</v>
      </c>
    </row>
    <row r="6436" spans="1:2" ht="15">
      <c r="A6436" s="113" t="s">
        <v>10741</v>
      </c>
      <c r="B6436" s="112" t="s">
        <v>11323</v>
      </c>
    </row>
    <row r="6437" spans="1:2" ht="15">
      <c r="A6437" s="113" t="s">
        <v>10742</v>
      </c>
      <c r="B6437" s="112" t="s">
        <v>11323</v>
      </c>
    </row>
    <row r="6438" spans="1:2" ht="15">
      <c r="A6438" s="113" t="s">
        <v>10743</v>
      </c>
      <c r="B6438" s="112" t="s">
        <v>11323</v>
      </c>
    </row>
    <row r="6439" spans="1:2" ht="15">
      <c r="A6439" s="113" t="s">
        <v>10744</v>
      </c>
      <c r="B6439" s="112" t="s">
        <v>11323</v>
      </c>
    </row>
    <row r="6440" spans="1:2" ht="15">
      <c r="A6440" s="113" t="s">
        <v>10745</v>
      </c>
      <c r="B6440" s="112" t="s">
        <v>11323</v>
      </c>
    </row>
    <row r="6441" spans="1:2" ht="15">
      <c r="A6441" s="113" t="s">
        <v>10746</v>
      </c>
      <c r="B6441" s="112" t="s">
        <v>11323</v>
      </c>
    </row>
    <row r="6442" spans="1:2" ht="15">
      <c r="A6442" s="113" t="s">
        <v>10747</v>
      </c>
      <c r="B6442" s="112" t="s">
        <v>11323</v>
      </c>
    </row>
    <row r="6443" spans="1:2" ht="15">
      <c r="A6443" s="113" t="s">
        <v>10748</v>
      </c>
      <c r="B6443" s="112" t="s">
        <v>11323</v>
      </c>
    </row>
    <row r="6444" spans="1:2" ht="15">
      <c r="A6444" s="113" t="s">
        <v>10749</v>
      </c>
      <c r="B6444" s="112" t="s">
        <v>11323</v>
      </c>
    </row>
    <row r="6445" spans="1:2" ht="15">
      <c r="A6445" s="113" t="s">
        <v>10750</v>
      </c>
      <c r="B6445" s="112" t="s">
        <v>11323</v>
      </c>
    </row>
    <row r="6446" spans="1:2" ht="15">
      <c r="A6446" s="113" t="s">
        <v>10751</v>
      </c>
      <c r="B6446" s="112" t="s">
        <v>11323</v>
      </c>
    </row>
    <row r="6447" spans="1:2" ht="15">
      <c r="A6447" s="113" t="s">
        <v>10752</v>
      </c>
      <c r="B6447" s="112" t="s">
        <v>11323</v>
      </c>
    </row>
    <row r="6448" spans="1:2" ht="15">
      <c r="A6448" s="113" t="s">
        <v>10753</v>
      </c>
      <c r="B6448" s="112" t="s">
        <v>11323</v>
      </c>
    </row>
    <row r="6449" spans="1:2" ht="15">
      <c r="A6449" s="113" t="s">
        <v>10754</v>
      </c>
      <c r="B6449" s="112" t="s">
        <v>11323</v>
      </c>
    </row>
    <row r="6450" spans="1:2" ht="15">
      <c r="A6450" s="113" t="s">
        <v>10755</v>
      </c>
      <c r="B6450" s="112" t="s">
        <v>11323</v>
      </c>
    </row>
    <row r="6451" spans="1:2" ht="15">
      <c r="A6451" s="113" t="s">
        <v>10756</v>
      </c>
      <c r="B6451" s="112" t="s">
        <v>11323</v>
      </c>
    </row>
    <row r="6452" spans="1:2" ht="15">
      <c r="A6452" s="113" t="s">
        <v>10757</v>
      </c>
      <c r="B6452" s="112" t="s">
        <v>11323</v>
      </c>
    </row>
    <row r="6453" spans="1:2" ht="15">
      <c r="A6453" s="113" t="s">
        <v>10758</v>
      </c>
      <c r="B6453" s="112" t="s">
        <v>11323</v>
      </c>
    </row>
    <row r="6454" spans="1:2" ht="15">
      <c r="A6454" s="113" t="s">
        <v>10759</v>
      </c>
      <c r="B6454" s="112" t="s">
        <v>11323</v>
      </c>
    </row>
    <row r="6455" spans="1:2" ht="15">
      <c r="A6455" s="113" t="s">
        <v>10760</v>
      </c>
      <c r="B6455" s="112" t="s">
        <v>11323</v>
      </c>
    </row>
    <row r="6456" spans="1:2" ht="15">
      <c r="A6456" s="113" t="s">
        <v>10761</v>
      </c>
      <c r="B6456" s="112" t="s">
        <v>11323</v>
      </c>
    </row>
    <row r="6457" spans="1:2" ht="15">
      <c r="A6457" s="113" t="s">
        <v>10762</v>
      </c>
      <c r="B6457" s="112" t="s">
        <v>11323</v>
      </c>
    </row>
    <row r="6458" spans="1:2" ht="15">
      <c r="A6458" s="113" t="s">
        <v>10763</v>
      </c>
      <c r="B6458" s="112" t="s">
        <v>11323</v>
      </c>
    </row>
    <row r="6459" spans="1:2" ht="15">
      <c r="A6459" s="113" t="s">
        <v>10764</v>
      </c>
      <c r="B6459" s="112" t="s">
        <v>11323</v>
      </c>
    </row>
    <row r="6460" spans="1:2" ht="15">
      <c r="A6460" s="113" t="s">
        <v>10765</v>
      </c>
      <c r="B6460" s="112" t="s">
        <v>11323</v>
      </c>
    </row>
    <row r="6461" spans="1:2" ht="15">
      <c r="A6461" s="113" t="s">
        <v>10766</v>
      </c>
      <c r="B6461" s="112" t="s">
        <v>11323</v>
      </c>
    </row>
    <row r="6462" spans="1:2" ht="15">
      <c r="A6462" s="113" t="s">
        <v>10767</v>
      </c>
      <c r="B6462" s="112" t="s">
        <v>11323</v>
      </c>
    </row>
    <row r="6463" spans="1:2" ht="15">
      <c r="A6463" s="113" t="s">
        <v>10768</v>
      </c>
      <c r="B6463" s="112" t="s">
        <v>11323</v>
      </c>
    </row>
    <row r="6464" spans="1:2" ht="15">
      <c r="A6464" s="113" t="s">
        <v>10769</v>
      </c>
      <c r="B6464" s="112" t="s">
        <v>11323</v>
      </c>
    </row>
    <row r="6465" spans="1:2" ht="15">
      <c r="A6465" s="113" t="s">
        <v>10770</v>
      </c>
      <c r="B6465" s="112" t="s">
        <v>11323</v>
      </c>
    </row>
    <row r="6466" spans="1:2" ht="15">
      <c r="A6466" s="113" t="s">
        <v>10771</v>
      </c>
      <c r="B6466" s="112" t="s">
        <v>11323</v>
      </c>
    </row>
    <row r="6467" spans="1:2" ht="15">
      <c r="A6467" s="113" t="s">
        <v>10772</v>
      </c>
      <c r="B6467" s="112" t="s">
        <v>11323</v>
      </c>
    </row>
    <row r="6468" spans="1:2" ht="15">
      <c r="A6468" s="113" t="s">
        <v>10773</v>
      </c>
      <c r="B6468" s="112" t="s">
        <v>11323</v>
      </c>
    </row>
    <row r="6469" spans="1:2" ht="15">
      <c r="A6469" s="113" t="s">
        <v>10774</v>
      </c>
      <c r="B6469" s="112" t="s">
        <v>11323</v>
      </c>
    </row>
    <row r="6470" spans="1:2" ht="15">
      <c r="A6470" s="113" t="s">
        <v>10775</v>
      </c>
      <c r="B6470" s="112" t="s">
        <v>11323</v>
      </c>
    </row>
    <row r="6471" spans="1:2" ht="15">
      <c r="A6471" s="113" t="s">
        <v>10776</v>
      </c>
      <c r="B6471" s="112" t="s">
        <v>11323</v>
      </c>
    </row>
    <row r="6472" spans="1:2" ht="15">
      <c r="A6472" s="113" t="s">
        <v>10777</v>
      </c>
      <c r="B6472" s="112" t="s">
        <v>11323</v>
      </c>
    </row>
    <row r="6473" spans="1:2" ht="15">
      <c r="A6473" s="113" t="s">
        <v>10778</v>
      </c>
      <c r="B6473" s="112" t="s">
        <v>11323</v>
      </c>
    </row>
    <row r="6474" spans="1:2" ht="15">
      <c r="A6474" s="113" t="s">
        <v>10779</v>
      </c>
      <c r="B6474" s="112" t="s">
        <v>11323</v>
      </c>
    </row>
    <row r="6475" spans="1:2" ht="15">
      <c r="A6475" s="113" t="s">
        <v>10780</v>
      </c>
      <c r="B6475" s="112" t="s">
        <v>11323</v>
      </c>
    </row>
    <row r="6476" spans="1:2" ht="15">
      <c r="A6476" s="113" t="s">
        <v>10781</v>
      </c>
      <c r="B6476" s="112" t="s">
        <v>11323</v>
      </c>
    </row>
    <row r="6477" spans="1:2" ht="15">
      <c r="A6477" s="113" t="s">
        <v>10782</v>
      </c>
      <c r="B6477" s="112" t="s">
        <v>11323</v>
      </c>
    </row>
    <row r="6478" spans="1:2" ht="15">
      <c r="A6478" s="113" t="s">
        <v>10783</v>
      </c>
      <c r="B6478" s="112" t="s">
        <v>11323</v>
      </c>
    </row>
    <row r="6479" spans="1:2" ht="15">
      <c r="A6479" s="113" t="s">
        <v>10784</v>
      </c>
      <c r="B6479" s="112" t="s">
        <v>11323</v>
      </c>
    </row>
    <row r="6480" spans="1:2" ht="15">
      <c r="A6480" s="113" t="s">
        <v>10785</v>
      </c>
      <c r="B6480" s="112" t="s">
        <v>11323</v>
      </c>
    </row>
    <row r="6481" spans="1:2" ht="15">
      <c r="A6481" s="113" t="s">
        <v>10786</v>
      </c>
      <c r="B6481" s="112" t="s">
        <v>11323</v>
      </c>
    </row>
    <row r="6482" spans="1:2" ht="15">
      <c r="A6482" s="113" t="s">
        <v>10787</v>
      </c>
      <c r="B6482" s="112" t="s">
        <v>11323</v>
      </c>
    </row>
    <row r="6483" spans="1:2" ht="15">
      <c r="A6483" s="113" t="s">
        <v>10788</v>
      </c>
      <c r="B6483" s="112" t="s">
        <v>11323</v>
      </c>
    </row>
    <row r="6484" spans="1:2" ht="15">
      <c r="A6484" s="113" t="s">
        <v>10789</v>
      </c>
      <c r="B6484" s="112" t="s">
        <v>11323</v>
      </c>
    </row>
    <row r="6485" spans="1:2" ht="15">
      <c r="A6485" s="113" t="s">
        <v>10790</v>
      </c>
      <c r="B6485" s="112" t="s">
        <v>11323</v>
      </c>
    </row>
    <row r="6486" spans="1:2" ht="15">
      <c r="A6486" s="113" t="s">
        <v>10791</v>
      </c>
      <c r="B6486" s="112" t="s">
        <v>11323</v>
      </c>
    </row>
    <row r="6487" spans="1:2" ht="15">
      <c r="A6487" s="113" t="s">
        <v>10792</v>
      </c>
      <c r="B6487" s="112" t="s">
        <v>11323</v>
      </c>
    </row>
    <row r="6488" spans="1:2" ht="15">
      <c r="A6488" s="113" t="s">
        <v>10793</v>
      </c>
      <c r="B6488" s="112" t="s">
        <v>11323</v>
      </c>
    </row>
    <row r="6489" spans="1:2" ht="15">
      <c r="A6489" s="113" t="s">
        <v>10794</v>
      </c>
      <c r="B6489" s="112" t="s">
        <v>11323</v>
      </c>
    </row>
    <row r="6490" spans="1:2" ht="15">
      <c r="A6490" s="113" t="s">
        <v>10795</v>
      </c>
      <c r="B6490" s="112" t="s">
        <v>11323</v>
      </c>
    </row>
    <row r="6491" spans="1:2" ht="15">
      <c r="A6491" s="113" t="s">
        <v>10796</v>
      </c>
      <c r="B6491" s="112" t="s">
        <v>11323</v>
      </c>
    </row>
    <row r="6492" spans="1:2" ht="15">
      <c r="A6492" s="113" t="s">
        <v>10797</v>
      </c>
      <c r="B6492" s="112" t="s">
        <v>11323</v>
      </c>
    </row>
    <row r="6493" spans="1:2" ht="15">
      <c r="A6493" s="113" t="s">
        <v>10798</v>
      </c>
      <c r="B6493" s="112" t="s">
        <v>11323</v>
      </c>
    </row>
    <row r="6494" spans="1:2" ht="15">
      <c r="A6494" s="113" t="s">
        <v>10799</v>
      </c>
      <c r="B6494" s="112" t="s">
        <v>11323</v>
      </c>
    </row>
    <row r="6495" spans="1:2" ht="15">
      <c r="A6495" s="113" t="s">
        <v>10800</v>
      </c>
      <c r="B6495" s="112" t="s">
        <v>11323</v>
      </c>
    </row>
    <row r="6496" spans="1:2" ht="15">
      <c r="A6496" s="113" t="s">
        <v>10801</v>
      </c>
      <c r="B6496" s="112" t="s">
        <v>11323</v>
      </c>
    </row>
    <row r="6497" spans="1:2" ht="15">
      <c r="A6497" s="113" t="s">
        <v>10802</v>
      </c>
      <c r="B6497" s="112" t="s">
        <v>11323</v>
      </c>
    </row>
    <row r="6498" spans="1:2" ht="15">
      <c r="A6498" s="113" t="s">
        <v>10803</v>
      </c>
      <c r="B6498" s="112" t="s">
        <v>11323</v>
      </c>
    </row>
    <row r="6499" spans="1:2" ht="15">
      <c r="A6499" s="113" t="s">
        <v>10804</v>
      </c>
      <c r="B6499" s="112" t="s">
        <v>11323</v>
      </c>
    </row>
    <row r="6500" spans="1:2" ht="15">
      <c r="A6500" s="113" t="s">
        <v>10805</v>
      </c>
      <c r="B6500" s="112" t="s">
        <v>11323</v>
      </c>
    </row>
    <row r="6501" spans="1:2" ht="15">
      <c r="A6501" s="113" t="s">
        <v>10806</v>
      </c>
      <c r="B6501" s="112" t="s">
        <v>11323</v>
      </c>
    </row>
    <row r="6502" spans="1:2" ht="15">
      <c r="A6502" s="113" t="s">
        <v>10807</v>
      </c>
      <c r="B6502" s="112" t="s">
        <v>11323</v>
      </c>
    </row>
    <row r="6503" spans="1:2" ht="15">
      <c r="A6503" s="113" t="s">
        <v>10808</v>
      </c>
      <c r="B6503" s="112" t="s">
        <v>11323</v>
      </c>
    </row>
    <row r="6504" spans="1:2" ht="15">
      <c r="A6504" s="113" t="s">
        <v>10809</v>
      </c>
      <c r="B6504" s="112" t="s">
        <v>11323</v>
      </c>
    </row>
    <row r="6505" spans="1:2" ht="15">
      <c r="A6505" s="113" t="s">
        <v>10810</v>
      </c>
      <c r="B6505" s="112" t="s">
        <v>11323</v>
      </c>
    </row>
    <row r="6506" spans="1:2" ht="15">
      <c r="A6506" s="113" t="s">
        <v>10811</v>
      </c>
      <c r="B6506" s="112" t="s">
        <v>11323</v>
      </c>
    </row>
    <row r="6507" spans="1:2" ht="15">
      <c r="A6507" s="113" t="s">
        <v>10812</v>
      </c>
      <c r="B6507" s="112" t="s">
        <v>11323</v>
      </c>
    </row>
    <row r="6508" spans="1:2" ht="15">
      <c r="A6508" s="113" t="s">
        <v>10813</v>
      </c>
      <c r="B6508" s="112" t="s">
        <v>11323</v>
      </c>
    </row>
    <row r="6509" spans="1:2" ht="15">
      <c r="A6509" s="113" t="s">
        <v>10814</v>
      </c>
      <c r="B6509" s="112" t="s">
        <v>11323</v>
      </c>
    </row>
    <row r="6510" spans="1:2" ht="15">
      <c r="A6510" s="113" t="s">
        <v>10815</v>
      </c>
      <c r="B6510" s="112" t="s">
        <v>11323</v>
      </c>
    </row>
    <row r="6511" spans="1:2" ht="15">
      <c r="A6511" s="113" t="s">
        <v>10816</v>
      </c>
      <c r="B6511" s="112" t="s">
        <v>11323</v>
      </c>
    </row>
    <row r="6512" spans="1:2" ht="15">
      <c r="A6512" s="113" t="s">
        <v>10817</v>
      </c>
      <c r="B6512" s="112" t="s">
        <v>11323</v>
      </c>
    </row>
    <row r="6513" spans="1:2" ht="15">
      <c r="A6513" s="113" t="s">
        <v>10818</v>
      </c>
      <c r="B6513" s="112" t="s">
        <v>11323</v>
      </c>
    </row>
    <row r="6514" spans="1:2" ht="15">
      <c r="A6514" s="113" t="s">
        <v>10819</v>
      </c>
      <c r="B6514" s="112" t="s">
        <v>11323</v>
      </c>
    </row>
    <row r="6515" spans="1:2" ht="15">
      <c r="A6515" s="113" t="s">
        <v>10820</v>
      </c>
      <c r="B6515" s="112" t="s">
        <v>11323</v>
      </c>
    </row>
    <row r="6516" spans="1:2" ht="15">
      <c r="A6516" s="113" t="s">
        <v>10821</v>
      </c>
      <c r="B6516" s="112" t="s">
        <v>11323</v>
      </c>
    </row>
    <row r="6517" spans="1:2" ht="15">
      <c r="A6517" s="113" t="s">
        <v>10822</v>
      </c>
      <c r="B6517" s="112" t="s">
        <v>11323</v>
      </c>
    </row>
    <row r="6518" spans="1:2" ht="15">
      <c r="A6518" s="113" t="s">
        <v>10823</v>
      </c>
      <c r="B6518" s="112" t="s">
        <v>11323</v>
      </c>
    </row>
    <row r="6519" spans="1:2" ht="15">
      <c r="A6519" s="113" t="s">
        <v>10824</v>
      </c>
      <c r="B6519" s="112" t="s">
        <v>11323</v>
      </c>
    </row>
    <row r="6520" spans="1:2" ht="15">
      <c r="A6520" s="113" t="s">
        <v>10825</v>
      </c>
      <c r="B6520" s="112" t="s">
        <v>11323</v>
      </c>
    </row>
    <row r="6521" spans="1:2" ht="15">
      <c r="A6521" s="113" t="s">
        <v>10826</v>
      </c>
      <c r="B6521" s="112" t="s">
        <v>11323</v>
      </c>
    </row>
    <row r="6522" spans="1:2" ht="15">
      <c r="A6522" s="113" t="s">
        <v>10827</v>
      </c>
      <c r="B6522" s="112" t="s">
        <v>11323</v>
      </c>
    </row>
    <row r="6523" spans="1:2" ht="15">
      <c r="A6523" s="113" t="s">
        <v>10828</v>
      </c>
      <c r="B6523" s="112" t="s">
        <v>11323</v>
      </c>
    </row>
    <row r="6524" spans="1:2" ht="15">
      <c r="A6524" s="113" t="s">
        <v>10829</v>
      </c>
      <c r="B6524" s="112" t="s">
        <v>11323</v>
      </c>
    </row>
    <row r="6525" spans="1:2" ht="15">
      <c r="A6525" s="113" t="s">
        <v>10830</v>
      </c>
      <c r="B6525" s="112" t="s">
        <v>11323</v>
      </c>
    </row>
    <row r="6526" spans="1:2" ht="15">
      <c r="A6526" s="113" t="s">
        <v>10831</v>
      </c>
      <c r="B6526" s="112" t="s">
        <v>11323</v>
      </c>
    </row>
    <row r="6527" spans="1:2" ht="15">
      <c r="A6527" s="113" t="s">
        <v>10832</v>
      </c>
      <c r="B6527" s="112" t="s">
        <v>11323</v>
      </c>
    </row>
    <row r="6528" spans="1:2" ht="15">
      <c r="A6528" s="113" t="s">
        <v>10833</v>
      </c>
      <c r="B6528" s="112" t="s">
        <v>11323</v>
      </c>
    </row>
    <row r="6529" spans="1:2" ht="15">
      <c r="A6529" s="113" t="s">
        <v>10834</v>
      </c>
      <c r="B6529" s="112" t="s">
        <v>11323</v>
      </c>
    </row>
    <row r="6530" spans="1:2" ht="15">
      <c r="A6530" s="113" t="s">
        <v>10835</v>
      </c>
      <c r="B6530" s="112" t="s">
        <v>11323</v>
      </c>
    </row>
    <row r="6531" spans="1:2" ht="15">
      <c r="A6531" s="113" t="s">
        <v>10836</v>
      </c>
      <c r="B6531" s="112" t="s">
        <v>11323</v>
      </c>
    </row>
    <row r="6532" spans="1:2" ht="15">
      <c r="A6532" s="113" t="s">
        <v>10837</v>
      </c>
      <c r="B6532" s="112" t="s">
        <v>11323</v>
      </c>
    </row>
    <row r="6533" spans="1:2" ht="15">
      <c r="A6533" s="113" t="s">
        <v>10838</v>
      </c>
      <c r="B6533" s="112" t="s">
        <v>11323</v>
      </c>
    </row>
    <row r="6534" spans="1:2" ht="15">
      <c r="A6534" s="113" t="s">
        <v>10839</v>
      </c>
      <c r="B6534" s="112" t="s">
        <v>11323</v>
      </c>
    </row>
    <row r="6535" spans="1:2" ht="15">
      <c r="A6535" s="113" t="s">
        <v>10840</v>
      </c>
      <c r="B6535" s="112" t="s">
        <v>11323</v>
      </c>
    </row>
    <row r="6536" spans="1:2" ht="15">
      <c r="A6536" s="113" t="s">
        <v>10841</v>
      </c>
      <c r="B6536" s="112" t="s">
        <v>11323</v>
      </c>
    </row>
    <row r="6537" spans="1:2" ht="15">
      <c r="A6537" s="113" t="s">
        <v>10842</v>
      </c>
      <c r="B6537" s="112" t="s">
        <v>11323</v>
      </c>
    </row>
    <row r="6538" spans="1:2" ht="15">
      <c r="A6538" s="113" t="s">
        <v>10843</v>
      </c>
      <c r="B6538" s="112" t="s">
        <v>11323</v>
      </c>
    </row>
    <row r="6539" spans="1:2" ht="15">
      <c r="A6539" s="113" t="s">
        <v>10844</v>
      </c>
      <c r="B6539" s="112" t="s">
        <v>11323</v>
      </c>
    </row>
    <row r="6540" spans="1:2" ht="15">
      <c r="A6540" s="113" t="s">
        <v>10845</v>
      </c>
      <c r="B6540" s="112" t="s">
        <v>11323</v>
      </c>
    </row>
    <row r="6541" spans="1:2" ht="15">
      <c r="A6541" s="113" t="s">
        <v>10846</v>
      </c>
      <c r="B6541" s="112" t="s">
        <v>11323</v>
      </c>
    </row>
    <row r="6542" spans="1:2" ht="15">
      <c r="A6542" s="113" t="s">
        <v>10847</v>
      </c>
      <c r="B6542" s="112" t="s">
        <v>11323</v>
      </c>
    </row>
    <row r="6543" spans="1:2" ht="15">
      <c r="A6543" s="113" t="s">
        <v>10848</v>
      </c>
      <c r="B6543" s="112" t="s">
        <v>11323</v>
      </c>
    </row>
    <row r="6544" spans="1:2" ht="15">
      <c r="A6544" s="113" t="s">
        <v>10849</v>
      </c>
      <c r="B6544" s="112" t="s">
        <v>11323</v>
      </c>
    </row>
    <row r="6545" spans="1:2" ht="15">
      <c r="A6545" s="113" t="s">
        <v>10850</v>
      </c>
      <c r="B6545" s="112" t="s">
        <v>11323</v>
      </c>
    </row>
    <row r="6546" spans="1:2" ht="15">
      <c r="A6546" s="113" t="s">
        <v>10851</v>
      </c>
      <c r="B6546" s="112" t="s">
        <v>11323</v>
      </c>
    </row>
    <row r="6547" spans="1:2" ht="15">
      <c r="A6547" s="113" t="s">
        <v>10852</v>
      </c>
      <c r="B6547" s="112" t="s">
        <v>11323</v>
      </c>
    </row>
    <row r="6548" spans="1:2" ht="15">
      <c r="A6548" s="113" t="s">
        <v>10853</v>
      </c>
      <c r="B6548" s="112" t="s">
        <v>11323</v>
      </c>
    </row>
    <row r="6549" spans="1:2" ht="15">
      <c r="A6549" s="113" t="s">
        <v>10854</v>
      </c>
      <c r="B6549" s="112" t="s">
        <v>11323</v>
      </c>
    </row>
    <row r="6550" spans="1:2" ht="15">
      <c r="A6550" s="113" t="s">
        <v>10855</v>
      </c>
      <c r="B6550" s="112" t="s">
        <v>11323</v>
      </c>
    </row>
    <row r="6551" spans="1:2" ht="15">
      <c r="A6551" s="113" t="s">
        <v>10856</v>
      </c>
      <c r="B6551" s="112" t="s">
        <v>11323</v>
      </c>
    </row>
    <row r="6552" spans="1:2" ht="15">
      <c r="A6552" s="113" t="s">
        <v>10857</v>
      </c>
      <c r="B6552" s="112" t="s">
        <v>11323</v>
      </c>
    </row>
    <row r="6553" spans="1:2" ht="15">
      <c r="A6553" s="113" t="s">
        <v>10858</v>
      </c>
      <c r="B6553" s="112" t="s">
        <v>11323</v>
      </c>
    </row>
    <row r="6554" spans="1:2" ht="15">
      <c r="A6554" s="113" t="s">
        <v>10859</v>
      </c>
      <c r="B6554" s="112" t="s">
        <v>11323</v>
      </c>
    </row>
    <row r="6555" spans="1:2" ht="15">
      <c r="A6555" s="113" t="s">
        <v>10860</v>
      </c>
      <c r="B6555" s="112" t="s">
        <v>11323</v>
      </c>
    </row>
    <row r="6556" spans="1:2" ht="15">
      <c r="A6556" s="113" t="s">
        <v>10861</v>
      </c>
      <c r="B6556" s="112" t="s">
        <v>11323</v>
      </c>
    </row>
    <row r="6557" spans="1:2" ht="15">
      <c r="A6557" s="113" t="s">
        <v>10862</v>
      </c>
      <c r="B6557" s="112" t="s">
        <v>11323</v>
      </c>
    </row>
    <row r="6558" spans="1:2" ht="15">
      <c r="A6558" s="113" t="s">
        <v>10863</v>
      </c>
      <c r="B6558" s="112" t="s">
        <v>11323</v>
      </c>
    </row>
    <row r="6559" spans="1:2" ht="15">
      <c r="A6559" s="113" t="s">
        <v>10864</v>
      </c>
      <c r="B6559" s="112" t="s">
        <v>11323</v>
      </c>
    </row>
    <row r="6560" spans="1:2" ht="15">
      <c r="A6560" s="113" t="s">
        <v>10865</v>
      </c>
      <c r="B6560" s="112" t="s">
        <v>11323</v>
      </c>
    </row>
    <row r="6561" spans="1:2" ht="15">
      <c r="A6561" s="113" t="s">
        <v>10866</v>
      </c>
      <c r="B6561" s="112" t="s">
        <v>11323</v>
      </c>
    </row>
    <row r="6562" spans="1:2" ht="15">
      <c r="A6562" s="113" t="s">
        <v>10867</v>
      </c>
      <c r="B6562" s="112" t="s">
        <v>11323</v>
      </c>
    </row>
    <row r="6563" spans="1:2" ht="15">
      <c r="A6563" s="113" t="s">
        <v>10868</v>
      </c>
      <c r="B6563" s="112" t="s">
        <v>11323</v>
      </c>
    </row>
    <row r="6564" spans="1:2" ht="15">
      <c r="A6564" s="113" t="s">
        <v>10869</v>
      </c>
      <c r="B6564" s="112" t="s">
        <v>11323</v>
      </c>
    </row>
    <row r="6565" spans="1:2" ht="15">
      <c r="A6565" s="113" t="s">
        <v>10870</v>
      </c>
      <c r="B6565" s="112" t="s">
        <v>11323</v>
      </c>
    </row>
    <row r="6566" spans="1:2" ht="15">
      <c r="A6566" s="113" t="s">
        <v>10871</v>
      </c>
      <c r="B6566" s="112" t="s">
        <v>11323</v>
      </c>
    </row>
    <row r="6567" spans="1:2" ht="15">
      <c r="A6567" s="113" t="s">
        <v>10872</v>
      </c>
      <c r="B6567" s="112" t="s">
        <v>11323</v>
      </c>
    </row>
    <row r="6568" spans="1:2" ht="15">
      <c r="A6568" s="113" t="s">
        <v>10873</v>
      </c>
      <c r="B6568" s="112" t="s">
        <v>11323</v>
      </c>
    </row>
    <row r="6569" spans="1:2" ht="15">
      <c r="A6569" s="113" t="s">
        <v>10874</v>
      </c>
      <c r="B6569" s="112" t="s">
        <v>11323</v>
      </c>
    </row>
    <row r="6570" spans="1:2" ht="15">
      <c r="A6570" s="113" t="s">
        <v>10875</v>
      </c>
      <c r="B6570" s="112" t="s">
        <v>11323</v>
      </c>
    </row>
    <row r="6571" spans="1:2" ht="15">
      <c r="A6571" s="113" t="s">
        <v>10876</v>
      </c>
      <c r="B6571" s="112" t="s">
        <v>11323</v>
      </c>
    </row>
    <row r="6572" spans="1:2" ht="15">
      <c r="A6572" s="113" t="s">
        <v>10877</v>
      </c>
      <c r="B6572" s="112" t="s">
        <v>11323</v>
      </c>
    </row>
    <row r="6573" spans="1:2" ht="15">
      <c r="A6573" s="113" t="s">
        <v>10878</v>
      </c>
      <c r="B6573" s="112" t="s">
        <v>11323</v>
      </c>
    </row>
    <row r="6574" spans="1:2" ht="15">
      <c r="A6574" s="113" t="s">
        <v>10879</v>
      </c>
      <c r="B6574" s="112" t="s">
        <v>11323</v>
      </c>
    </row>
    <row r="6575" spans="1:2" ht="15">
      <c r="A6575" s="113" t="s">
        <v>10880</v>
      </c>
      <c r="B6575" s="112" t="s">
        <v>11323</v>
      </c>
    </row>
    <row r="6576" spans="1:2" ht="15">
      <c r="A6576" s="113" t="s">
        <v>10881</v>
      </c>
      <c r="B6576" s="112" t="s">
        <v>11323</v>
      </c>
    </row>
    <row r="6577" spans="1:2" ht="15">
      <c r="A6577" s="113" t="s">
        <v>10882</v>
      </c>
      <c r="B6577" s="112" t="s">
        <v>11323</v>
      </c>
    </row>
    <row r="6578" spans="1:2" ht="15">
      <c r="A6578" s="113" t="s">
        <v>10883</v>
      </c>
      <c r="B6578" s="112" t="s">
        <v>11323</v>
      </c>
    </row>
    <row r="6579" spans="1:2" ht="15">
      <c r="A6579" s="113" t="s">
        <v>10884</v>
      </c>
      <c r="B6579" s="112" t="s">
        <v>11323</v>
      </c>
    </row>
    <row r="6580" spans="1:2" ht="15">
      <c r="A6580" s="113" t="s">
        <v>10885</v>
      </c>
      <c r="B6580" s="112" t="s">
        <v>11323</v>
      </c>
    </row>
    <row r="6581" spans="1:2" ht="15">
      <c r="A6581" s="113" t="s">
        <v>10886</v>
      </c>
      <c r="B6581" s="112" t="s">
        <v>11323</v>
      </c>
    </row>
    <row r="6582" spans="1:2" ht="15">
      <c r="A6582" s="113" t="s">
        <v>10887</v>
      </c>
      <c r="B6582" s="112" t="s">
        <v>11323</v>
      </c>
    </row>
    <row r="6583" spans="1:2" ht="15">
      <c r="A6583" s="113" t="s">
        <v>10888</v>
      </c>
      <c r="B6583" s="112" t="s">
        <v>11323</v>
      </c>
    </row>
    <row r="6584" spans="1:2" ht="15">
      <c r="A6584" s="113" t="s">
        <v>10889</v>
      </c>
      <c r="B6584" s="112" t="s">
        <v>11323</v>
      </c>
    </row>
    <row r="6585" spans="1:2" ht="15">
      <c r="A6585" s="113" t="s">
        <v>10890</v>
      </c>
      <c r="B6585" s="112" t="s">
        <v>11323</v>
      </c>
    </row>
    <row r="6586" spans="1:2" ht="15">
      <c r="A6586" s="113" t="s">
        <v>10891</v>
      </c>
      <c r="B6586" s="112" t="s">
        <v>11323</v>
      </c>
    </row>
    <row r="6587" spans="1:2" ht="15">
      <c r="A6587" s="113" t="s">
        <v>10892</v>
      </c>
      <c r="B6587" s="112" t="s">
        <v>11323</v>
      </c>
    </row>
    <row r="6588" spans="1:2" ht="15">
      <c r="A6588" s="113" t="s">
        <v>10893</v>
      </c>
      <c r="B6588" s="112" t="s">
        <v>11323</v>
      </c>
    </row>
    <row r="6589" spans="1:2" ht="15">
      <c r="A6589" s="113" t="s">
        <v>10894</v>
      </c>
      <c r="B6589" s="112" t="s">
        <v>11323</v>
      </c>
    </row>
    <row r="6590" spans="1:2" ht="15">
      <c r="A6590" s="113" t="s">
        <v>10895</v>
      </c>
      <c r="B6590" s="112" t="s">
        <v>11323</v>
      </c>
    </row>
    <row r="6591" spans="1:2" ht="15">
      <c r="A6591" s="113" t="s">
        <v>10896</v>
      </c>
      <c r="B6591" s="112" t="s">
        <v>11323</v>
      </c>
    </row>
    <row r="6592" spans="1:2" ht="15">
      <c r="A6592" s="113" t="s">
        <v>10897</v>
      </c>
      <c r="B6592" s="112" t="s">
        <v>11323</v>
      </c>
    </row>
    <row r="6593" spans="1:2" ht="15">
      <c r="A6593" s="113" t="s">
        <v>10898</v>
      </c>
      <c r="B6593" s="112" t="s">
        <v>11323</v>
      </c>
    </row>
    <row r="6594" spans="1:2" ht="15">
      <c r="A6594" s="113" t="s">
        <v>10899</v>
      </c>
      <c r="B6594" s="112" t="s">
        <v>11323</v>
      </c>
    </row>
    <row r="6595" spans="1:2" ht="15">
      <c r="A6595" s="113" t="s">
        <v>10900</v>
      </c>
      <c r="B6595" s="112" t="s">
        <v>11323</v>
      </c>
    </row>
    <row r="6596" spans="1:2" ht="15">
      <c r="A6596" s="113" t="s">
        <v>10901</v>
      </c>
      <c r="B6596" s="112" t="s">
        <v>11323</v>
      </c>
    </row>
    <row r="6597" spans="1:2" ht="15">
      <c r="A6597" s="113" t="s">
        <v>10902</v>
      </c>
      <c r="B6597" s="112" t="s">
        <v>11323</v>
      </c>
    </row>
    <row r="6598" spans="1:2" ht="15">
      <c r="A6598" s="113" t="s">
        <v>10903</v>
      </c>
      <c r="B6598" s="112" t="s">
        <v>11323</v>
      </c>
    </row>
    <row r="6599" spans="1:2" ht="15">
      <c r="A6599" s="113" t="s">
        <v>10904</v>
      </c>
      <c r="B6599" s="112" t="s">
        <v>11323</v>
      </c>
    </row>
    <row r="6600" spans="1:2" ht="15">
      <c r="A6600" s="113" t="s">
        <v>10905</v>
      </c>
      <c r="B6600" s="112" t="s">
        <v>11323</v>
      </c>
    </row>
    <row r="6601" spans="1:2" ht="15">
      <c r="A6601" s="113" t="s">
        <v>10906</v>
      </c>
      <c r="B6601" s="112" t="s">
        <v>11323</v>
      </c>
    </row>
    <row r="6602" spans="1:2" ht="15">
      <c r="A6602" s="113" t="s">
        <v>10907</v>
      </c>
      <c r="B6602" s="112" t="s">
        <v>11323</v>
      </c>
    </row>
    <row r="6603" spans="1:2" ht="15">
      <c r="A6603" s="113" t="s">
        <v>10908</v>
      </c>
      <c r="B6603" s="112" t="s">
        <v>11323</v>
      </c>
    </row>
    <row r="6604" spans="1:2" ht="15">
      <c r="A6604" s="113" t="s">
        <v>10909</v>
      </c>
      <c r="B6604" s="112" t="s">
        <v>11323</v>
      </c>
    </row>
    <row r="6605" spans="1:2" ht="15">
      <c r="A6605" s="113" t="s">
        <v>10910</v>
      </c>
      <c r="B6605" s="112" t="s">
        <v>11323</v>
      </c>
    </row>
    <row r="6606" spans="1:2" ht="15">
      <c r="A6606" s="113" t="s">
        <v>10911</v>
      </c>
      <c r="B6606" s="112" t="s">
        <v>11323</v>
      </c>
    </row>
    <row r="6607" spans="1:2" ht="15">
      <c r="A6607" s="113" t="s">
        <v>10912</v>
      </c>
      <c r="B6607" s="112" t="s">
        <v>11323</v>
      </c>
    </row>
    <row r="6608" spans="1:2" ht="15">
      <c r="A6608" s="113" t="s">
        <v>10913</v>
      </c>
      <c r="B6608" s="112" t="s">
        <v>11323</v>
      </c>
    </row>
    <row r="6609" spans="1:2" ht="15">
      <c r="A6609" s="113" t="s">
        <v>10914</v>
      </c>
      <c r="B6609" s="112" t="s">
        <v>11323</v>
      </c>
    </row>
    <row r="6610" spans="1:2" ht="15">
      <c r="A6610" s="113" t="s">
        <v>10915</v>
      </c>
      <c r="B6610" s="112" t="s">
        <v>11323</v>
      </c>
    </row>
    <row r="6611" spans="1:2" ht="15">
      <c r="A6611" s="113" t="s">
        <v>10916</v>
      </c>
      <c r="B6611" s="112" t="s">
        <v>11323</v>
      </c>
    </row>
    <row r="6612" spans="1:2" ht="15">
      <c r="A6612" s="113" t="s">
        <v>10917</v>
      </c>
      <c r="B6612" s="112" t="s">
        <v>11323</v>
      </c>
    </row>
    <row r="6613" spans="1:2" ht="15">
      <c r="A6613" s="113" t="s">
        <v>10918</v>
      </c>
      <c r="B6613" s="112" t="s">
        <v>11323</v>
      </c>
    </row>
    <row r="6614" spans="1:2" ht="15">
      <c r="A6614" s="113" t="s">
        <v>10919</v>
      </c>
      <c r="B6614" s="112" t="s">
        <v>11323</v>
      </c>
    </row>
    <row r="6615" spans="1:2" ht="15">
      <c r="A6615" s="113" t="s">
        <v>10920</v>
      </c>
      <c r="B6615" s="112" t="s">
        <v>11323</v>
      </c>
    </row>
    <row r="6616" spans="1:2" ht="15">
      <c r="A6616" s="113" t="s">
        <v>10921</v>
      </c>
      <c r="B6616" s="112" t="s">
        <v>11323</v>
      </c>
    </row>
    <row r="6617" spans="1:2" ht="15">
      <c r="A6617" s="113" t="s">
        <v>10922</v>
      </c>
      <c r="B6617" s="112" t="s">
        <v>11323</v>
      </c>
    </row>
    <row r="6618" spans="1:2" ht="15">
      <c r="A6618" s="113" t="s">
        <v>10923</v>
      </c>
      <c r="B6618" s="112" t="s">
        <v>11323</v>
      </c>
    </row>
    <row r="6619" spans="1:2" ht="15">
      <c r="A6619" s="113" t="s">
        <v>10924</v>
      </c>
      <c r="B6619" s="112" t="s">
        <v>11323</v>
      </c>
    </row>
    <row r="6620" spans="1:2" ht="15">
      <c r="A6620" s="113" t="s">
        <v>10925</v>
      </c>
      <c r="B6620" s="112" t="s">
        <v>11323</v>
      </c>
    </row>
    <row r="6621" spans="1:2" ht="15">
      <c r="A6621" s="113" t="s">
        <v>10926</v>
      </c>
      <c r="B6621" s="112" t="s">
        <v>11323</v>
      </c>
    </row>
    <row r="6622" spans="1:2" ht="15">
      <c r="A6622" s="113" t="s">
        <v>10927</v>
      </c>
      <c r="B6622" s="112" t="s">
        <v>11323</v>
      </c>
    </row>
    <row r="6623" spans="1:2" ht="15">
      <c r="A6623" s="113" t="s">
        <v>10928</v>
      </c>
      <c r="B6623" s="112" t="s">
        <v>11323</v>
      </c>
    </row>
    <row r="6624" spans="1:2" ht="15">
      <c r="A6624" s="113" t="s">
        <v>10929</v>
      </c>
      <c r="B6624" s="112" t="s">
        <v>11323</v>
      </c>
    </row>
    <row r="6625" spans="1:2" ht="15">
      <c r="A6625" s="113" t="s">
        <v>10930</v>
      </c>
      <c r="B6625" s="112" t="s">
        <v>11323</v>
      </c>
    </row>
    <row r="6626" spans="1:2" ht="15">
      <c r="A6626" s="113" t="s">
        <v>10931</v>
      </c>
      <c r="B6626" s="112" t="s">
        <v>11323</v>
      </c>
    </row>
    <row r="6627" spans="1:2" ht="15">
      <c r="A6627" s="113" t="s">
        <v>10932</v>
      </c>
      <c r="B6627" s="112" t="s">
        <v>11323</v>
      </c>
    </row>
    <row r="6628" spans="1:2" ht="15">
      <c r="A6628" s="113" t="s">
        <v>10933</v>
      </c>
      <c r="B6628" s="112" t="s">
        <v>11323</v>
      </c>
    </row>
    <row r="6629" spans="1:2" ht="15">
      <c r="A6629" s="113" t="s">
        <v>10934</v>
      </c>
      <c r="B6629" s="112" t="s">
        <v>11323</v>
      </c>
    </row>
    <row r="6630" spans="1:2" ht="15">
      <c r="A6630" s="113" t="s">
        <v>10935</v>
      </c>
      <c r="B6630" s="112" t="s">
        <v>11323</v>
      </c>
    </row>
    <row r="6631" spans="1:2" ht="15">
      <c r="A6631" s="113" t="s">
        <v>10936</v>
      </c>
      <c r="B6631" s="112" t="s">
        <v>11323</v>
      </c>
    </row>
    <row r="6632" spans="1:2" ht="15">
      <c r="A6632" s="113" t="s">
        <v>10937</v>
      </c>
      <c r="B6632" s="112" t="s">
        <v>11323</v>
      </c>
    </row>
    <row r="6633" spans="1:2" ht="15">
      <c r="A6633" s="113" t="s">
        <v>10938</v>
      </c>
      <c r="B6633" s="112" t="s">
        <v>11323</v>
      </c>
    </row>
    <row r="6634" spans="1:2" ht="15">
      <c r="A6634" s="113" t="s">
        <v>10939</v>
      </c>
      <c r="B6634" s="112" t="s">
        <v>11323</v>
      </c>
    </row>
    <row r="6635" spans="1:2" ht="15">
      <c r="A6635" s="113" t="s">
        <v>10940</v>
      </c>
      <c r="B6635" s="112" t="s">
        <v>11323</v>
      </c>
    </row>
    <row r="6636" spans="1:2" ht="15">
      <c r="A6636" s="113" t="s">
        <v>10941</v>
      </c>
      <c r="B6636" s="112" t="s">
        <v>11323</v>
      </c>
    </row>
    <row r="6637" spans="1:2" ht="15">
      <c r="A6637" s="113" t="s">
        <v>10942</v>
      </c>
      <c r="B6637" s="112" t="s">
        <v>11323</v>
      </c>
    </row>
    <row r="6638" spans="1:2" ht="15">
      <c r="A6638" s="113" t="s">
        <v>10943</v>
      </c>
      <c r="B6638" s="112" t="s">
        <v>11323</v>
      </c>
    </row>
    <row r="6639" spans="1:2" ht="15">
      <c r="A6639" s="113" t="s">
        <v>10944</v>
      </c>
      <c r="B6639" s="112" t="s">
        <v>11323</v>
      </c>
    </row>
    <row r="6640" spans="1:2" ht="15">
      <c r="A6640" s="113" t="s">
        <v>10945</v>
      </c>
      <c r="B6640" s="112" t="s">
        <v>11323</v>
      </c>
    </row>
    <row r="6641" spans="1:2" ht="15">
      <c r="A6641" s="113" t="s">
        <v>10946</v>
      </c>
      <c r="B6641" s="112" t="s">
        <v>11323</v>
      </c>
    </row>
    <row r="6642" spans="1:2" ht="15">
      <c r="A6642" s="113" t="s">
        <v>10947</v>
      </c>
      <c r="B6642" s="112" t="s">
        <v>11323</v>
      </c>
    </row>
    <row r="6643" spans="1:2" ht="15">
      <c r="A6643" s="113" t="s">
        <v>10948</v>
      </c>
      <c r="B6643" s="112" t="s">
        <v>11323</v>
      </c>
    </row>
    <row r="6644" spans="1:2" ht="15">
      <c r="A6644" s="113" t="s">
        <v>10949</v>
      </c>
      <c r="B6644" s="112" t="s">
        <v>11323</v>
      </c>
    </row>
    <row r="6645" spans="1:2" ht="15">
      <c r="A6645" s="113" t="s">
        <v>10950</v>
      </c>
      <c r="B6645" s="112" t="s">
        <v>11323</v>
      </c>
    </row>
    <row r="6646" spans="1:2" ht="15">
      <c r="A6646" s="113" t="s">
        <v>10951</v>
      </c>
      <c r="B6646" s="112" t="s">
        <v>11323</v>
      </c>
    </row>
    <row r="6647" spans="1:2" ht="15">
      <c r="A6647" s="113" t="s">
        <v>10952</v>
      </c>
      <c r="B6647" s="112" t="s">
        <v>11323</v>
      </c>
    </row>
    <row r="6648" spans="1:2" ht="15">
      <c r="A6648" s="113" t="s">
        <v>10953</v>
      </c>
      <c r="B6648" s="112" t="s">
        <v>11323</v>
      </c>
    </row>
    <row r="6649" spans="1:2" ht="15">
      <c r="A6649" s="113" t="s">
        <v>10954</v>
      </c>
      <c r="B6649" s="112" t="s">
        <v>11323</v>
      </c>
    </row>
    <row r="6650" spans="1:2" ht="15">
      <c r="A6650" s="113" t="s">
        <v>10955</v>
      </c>
      <c r="B6650" s="112" t="s">
        <v>11323</v>
      </c>
    </row>
    <row r="6651" spans="1:2" ht="15">
      <c r="A6651" s="113" t="s">
        <v>10956</v>
      </c>
      <c r="B6651" s="112" t="s">
        <v>11323</v>
      </c>
    </row>
    <row r="6652" spans="1:2" ht="15">
      <c r="A6652" s="113" t="s">
        <v>10957</v>
      </c>
      <c r="B6652" s="112" t="s">
        <v>11323</v>
      </c>
    </row>
    <row r="6653" spans="1:2" ht="15">
      <c r="A6653" s="113" t="s">
        <v>10958</v>
      </c>
      <c r="B6653" s="112" t="s">
        <v>11323</v>
      </c>
    </row>
    <row r="6654" spans="1:2" ht="15">
      <c r="A6654" s="113" t="s">
        <v>10959</v>
      </c>
      <c r="B6654" s="112" t="s">
        <v>11323</v>
      </c>
    </row>
    <row r="6655" spans="1:2" ht="15">
      <c r="A6655" s="113" t="s">
        <v>10960</v>
      </c>
      <c r="B6655" s="112" t="s">
        <v>11323</v>
      </c>
    </row>
    <row r="6656" spans="1:2" ht="15">
      <c r="A6656" s="113" t="s">
        <v>10961</v>
      </c>
      <c r="B6656" s="112" t="s">
        <v>11323</v>
      </c>
    </row>
    <row r="6657" spans="1:2" ht="15">
      <c r="A6657" s="113" t="s">
        <v>10962</v>
      </c>
      <c r="B6657" s="112" t="s">
        <v>11323</v>
      </c>
    </row>
    <row r="6658" spans="1:2" ht="15">
      <c r="A6658" s="113" t="s">
        <v>10963</v>
      </c>
      <c r="B6658" s="112" t="s">
        <v>11323</v>
      </c>
    </row>
    <row r="6659" spans="1:2" ht="15">
      <c r="A6659" s="113" t="s">
        <v>10964</v>
      </c>
      <c r="B6659" s="112" t="s">
        <v>11323</v>
      </c>
    </row>
    <row r="6660" spans="1:2" ht="15">
      <c r="A6660" s="113" t="s">
        <v>10965</v>
      </c>
      <c r="B6660" s="112" t="s">
        <v>11323</v>
      </c>
    </row>
    <row r="6661" spans="1:2" ht="15">
      <c r="A6661" s="113" t="s">
        <v>10966</v>
      </c>
      <c r="B6661" s="112" t="s">
        <v>11323</v>
      </c>
    </row>
    <row r="6662" spans="1:2" ht="15">
      <c r="A6662" s="113" t="s">
        <v>10967</v>
      </c>
      <c r="B6662" s="112" t="s">
        <v>11323</v>
      </c>
    </row>
    <row r="6663" spans="1:2" ht="15">
      <c r="A6663" s="113" t="s">
        <v>10968</v>
      </c>
      <c r="B6663" s="112" t="s">
        <v>11323</v>
      </c>
    </row>
    <row r="6664" spans="1:2" ht="15">
      <c r="A6664" s="113" t="s">
        <v>10969</v>
      </c>
      <c r="B6664" s="112" t="s">
        <v>11323</v>
      </c>
    </row>
    <row r="6665" spans="1:2" ht="15">
      <c r="A6665" s="113" t="s">
        <v>10970</v>
      </c>
      <c r="B6665" s="112" t="s">
        <v>11323</v>
      </c>
    </row>
    <row r="6666" spans="1:2" ht="15">
      <c r="A6666" s="113" t="s">
        <v>10971</v>
      </c>
      <c r="B6666" s="112" t="s">
        <v>11323</v>
      </c>
    </row>
    <row r="6667" spans="1:2" ht="15">
      <c r="A6667" s="113" t="s">
        <v>10972</v>
      </c>
      <c r="B6667" s="112" t="s">
        <v>11323</v>
      </c>
    </row>
    <row r="6668" spans="1:2" ht="15">
      <c r="A6668" s="113" t="s">
        <v>10973</v>
      </c>
      <c r="B6668" s="112" t="s">
        <v>11323</v>
      </c>
    </row>
    <row r="6669" spans="1:2" ht="15">
      <c r="A6669" s="113" t="s">
        <v>10974</v>
      </c>
      <c r="B6669" s="112" t="s">
        <v>11323</v>
      </c>
    </row>
    <row r="6670" spans="1:2" ht="15">
      <c r="A6670" s="113" t="s">
        <v>10975</v>
      </c>
      <c r="B6670" s="112" t="s">
        <v>11323</v>
      </c>
    </row>
    <row r="6671" spans="1:2" ht="15">
      <c r="A6671" s="113" t="s">
        <v>10976</v>
      </c>
      <c r="B6671" s="112" t="s">
        <v>11323</v>
      </c>
    </row>
    <row r="6672" spans="1:2" ht="15">
      <c r="A6672" s="113" t="s">
        <v>10977</v>
      </c>
      <c r="B6672" s="112" t="s">
        <v>11323</v>
      </c>
    </row>
    <row r="6673" spans="1:2" ht="15">
      <c r="A6673" s="113" t="s">
        <v>10978</v>
      </c>
      <c r="B6673" s="112" t="s">
        <v>11323</v>
      </c>
    </row>
    <row r="6674" spans="1:2" ht="15">
      <c r="A6674" s="113" t="s">
        <v>10979</v>
      </c>
      <c r="B6674" s="112" t="s">
        <v>11323</v>
      </c>
    </row>
    <row r="6675" spans="1:2" ht="15">
      <c r="A6675" s="113" t="s">
        <v>10980</v>
      </c>
      <c r="B6675" s="112" t="s">
        <v>11323</v>
      </c>
    </row>
    <row r="6676" spans="1:2" ht="15">
      <c r="A6676" s="113" t="s">
        <v>10981</v>
      </c>
      <c r="B6676" s="112" t="s">
        <v>11323</v>
      </c>
    </row>
    <row r="6677" spans="1:2" ht="15">
      <c r="A6677" s="113" t="s">
        <v>10982</v>
      </c>
      <c r="B6677" s="112" t="s">
        <v>11323</v>
      </c>
    </row>
    <row r="6678" spans="1:2" ht="15">
      <c r="A6678" s="113" t="s">
        <v>10983</v>
      </c>
      <c r="B6678" s="112" t="s">
        <v>11323</v>
      </c>
    </row>
    <row r="6679" spans="1:2" ht="15">
      <c r="A6679" s="113" t="s">
        <v>10984</v>
      </c>
      <c r="B6679" s="112" t="s">
        <v>11323</v>
      </c>
    </row>
    <row r="6680" spans="1:2" ht="15">
      <c r="A6680" s="113" t="s">
        <v>10985</v>
      </c>
      <c r="B6680" s="112" t="s">
        <v>11323</v>
      </c>
    </row>
    <row r="6681" spans="1:2" ht="15">
      <c r="A6681" s="113" t="s">
        <v>10986</v>
      </c>
      <c r="B6681" s="112" t="s">
        <v>11323</v>
      </c>
    </row>
    <row r="6682" spans="1:2" ht="15">
      <c r="A6682" s="113" t="s">
        <v>10987</v>
      </c>
      <c r="B6682" s="112" t="s">
        <v>11323</v>
      </c>
    </row>
    <row r="6683" spans="1:2" ht="15">
      <c r="A6683" s="113" t="s">
        <v>10988</v>
      </c>
      <c r="B6683" s="112" t="s">
        <v>11323</v>
      </c>
    </row>
    <row r="6684" spans="1:2" ht="15">
      <c r="A6684" s="113" t="s">
        <v>10989</v>
      </c>
      <c r="B6684" s="112" t="s">
        <v>11323</v>
      </c>
    </row>
    <row r="6685" spans="1:2" ht="15">
      <c r="A6685" s="113" t="s">
        <v>10990</v>
      </c>
      <c r="B6685" s="112" t="s">
        <v>11323</v>
      </c>
    </row>
    <row r="6686" spans="1:2" ht="15">
      <c r="A6686" s="113" t="s">
        <v>10991</v>
      </c>
      <c r="B6686" s="112" t="s">
        <v>11323</v>
      </c>
    </row>
    <row r="6687" spans="1:2" ht="15">
      <c r="A6687" s="113" t="s">
        <v>10992</v>
      </c>
      <c r="B6687" s="112" t="s">
        <v>11323</v>
      </c>
    </row>
    <row r="6688" spans="1:2" ht="15">
      <c r="A6688" s="113" t="s">
        <v>10993</v>
      </c>
      <c r="B6688" s="112" t="s">
        <v>11323</v>
      </c>
    </row>
    <row r="6689" spans="1:2" ht="15">
      <c r="A6689" s="113" t="s">
        <v>10994</v>
      </c>
      <c r="B6689" s="112" t="s">
        <v>11323</v>
      </c>
    </row>
    <row r="6690" spans="1:2" ht="15">
      <c r="A6690" s="113" t="s">
        <v>10995</v>
      </c>
      <c r="B6690" s="112" t="s">
        <v>11323</v>
      </c>
    </row>
    <row r="6691" spans="1:2" ht="15">
      <c r="A6691" s="113" t="s">
        <v>10996</v>
      </c>
      <c r="B6691" s="112" t="s">
        <v>11323</v>
      </c>
    </row>
    <row r="6692" spans="1:2" ht="15">
      <c r="A6692" s="113" t="s">
        <v>10997</v>
      </c>
      <c r="B6692" s="112" t="s">
        <v>11323</v>
      </c>
    </row>
    <row r="6693" spans="1:2" ht="15">
      <c r="A6693" s="113" t="s">
        <v>10998</v>
      </c>
      <c r="B6693" s="112" t="s">
        <v>11323</v>
      </c>
    </row>
    <row r="6694" spans="1:2" ht="15">
      <c r="A6694" s="113" t="s">
        <v>10999</v>
      </c>
      <c r="B6694" s="112" t="s">
        <v>11323</v>
      </c>
    </row>
    <row r="6695" spans="1:2" ht="15">
      <c r="A6695" s="113" t="s">
        <v>11000</v>
      </c>
      <c r="B6695" s="112" t="s">
        <v>11323</v>
      </c>
    </row>
    <row r="6696" spans="1:2" ht="15">
      <c r="A6696" s="113" t="s">
        <v>11001</v>
      </c>
      <c r="B6696" s="112" t="s">
        <v>11323</v>
      </c>
    </row>
    <row r="6697" spans="1:2" ht="15">
      <c r="A6697" s="113" t="s">
        <v>11002</v>
      </c>
      <c r="B6697" s="112" t="s">
        <v>11323</v>
      </c>
    </row>
    <row r="6698" spans="1:2" ht="15">
      <c r="A6698" s="113" t="s">
        <v>11003</v>
      </c>
      <c r="B6698" s="112" t="s">
        <v>11323</v>
      </c>
    </row>
    <row r="6699" spans="1:2" ht="15">
      <c r="A6699" s="113" t="s">
        <v>11004</v>
      </c>
      <c r="B6699" s="112" t="s">
        <v>11323</v>
      </c>
    </row>
    <row r="6700" spans="1:2" ht="15">
      <c r="A6700" s="113" t="s">
        <v>11005</v>
      </c>
      <c r="B6700" s="112" t="s">
        <v>11323</v>
      </c>
    </row>
    <row r="6701" spans="1:2" ht="15">
      <c r="A6701" s="113" t="s">
        <v>11006</v>
      </c>
      <c r="B6701" s="112" t="s">
        <v>11323</v>
      </c>
    </row>
    <row r="6702" spans="1:2" ht="15">
      <c r="A6702" s="113" t="s">
        <v>11007</v>
      </c>
      <c r="B6702" s="112" t="s">
        <v>11323</v>
      </c>
    </row>
    <row r="6703" spans="1:2" ht="15">
      <c r="A6703" s="113" t="s">
        <v>11008</v>
      </c>
      <c r="B6703" s="112" t="s">
        <v>11323</v>
      </c>
    </row>
    <row r="6704" spans="1:2" ht="15">
      <c r="A6704" s="113" t="s">
        <v>11009</v>
      </c>
      <c r="B6704" s="112" t="s">
        <v>11323</v>
      </c>
    </row>
    <row r="6705" spans="1:2" ht="15">
      <c r="A6705" s="113" t="s">
        <v>11010</v>
      </c>
      <c r="B6705" s="112" t="s">
        <v>11323</v>
      </c>
    </row>
    <row r="6706" spans="1:2" ht="15">
      <c r="A6706" s="113" t="s">
        <v>11011</v>
      </c>
      <c r="B6706" s="112" t="s">
        <v>11323</v>
      </c>
    </row>
    <row r="6707" spans="1:2" ht="15">
      <c r="A6707" s="113" t="s">
        <v>11012</v>
      </c>
      <c r="B6707" s="112" t="s">
        <v>11323</v>
      </c>
    </row>
    <row r="6708" spans="1:2" ht="15">
      <c r="A6708" s="113" t="s">
        <v>11013</v>
      </c>
      <c r="B6708" s="112" t="s">
        <v>11323</v>
      </c>
    </row>
    <row r="6709" spans="1:2" ht="15">
      <c r="A6709" s="113" t="s">
        <v>11014</v>
      </c>
      <c r="B6709" s="112" t="s">
        <v>11323</v>
      </c>
    </row>
    <row r="6710" spans="1:2" ht="15">
      <c r="A6710" s="113" t="s">
        <v>11015</v>
      </c>
      <c r="B6710" s="112" t="s">
        <v>11323</v>
      </c>
    </row>
    <row r="6711" spans="1:2" ht="15">
      <c r="A6711" s="113" t="s">
        <v>11016</v>
      </c>
      <c r="B6711" s="112" t="s">
        <v>11323</v>
      </c>
    </row>
    <row r="6712" spans="1:2" ht="15">
      <c r="A6712" s="113" t="s">
        <v>11017</v>
      </c>
      <c r="B6712" s="112" t="s">
        <v>11323</v>
      </c>
    </row>
    <row r="6713" spans="1:2" ht="15">
      <c r="A6713" s="113" t="s">
        <v>11018</v>
      </c>
      <c r="B6713" s="112" t="s">
        <v>11323</v>
      </c>
    </row>
    <row r="6714" spans="1:2" ht="15">
      <c r="A6714" s="113" t="s">
        <v>11019</v>
      </c>
      <c r="B6714" s="112" t="s">
        <v>11323</v>
      </c>
    </row>
    <row r="6715" spans="1:2" ht="15">
      <c r="A6715" s="113" t="s">
        <v>11020</v>
      </c>
      <c r="B6715" s="112" t="s">
        <v>11323</v>
      </c>
    </row>
    <row r="6716" spans="1:2" ht="15">
      <c r="A6716" s="113" t="s">
        <v>11021</v>
      </c>
      <c r="B6716" s="112" t="s">
        <v>11323</v>
      </c>
    </row>
    <row r="6717" spans="1:2" ht="15">
      <c r="A6717" s="113" t="s">
        <v>11022</v>
      </c>
      <c r="B6717" s="112" t="s">
        <v>11323</v>
      </c>
    </row>
    <row r="6718" spans="1:2" ht="15">
      <c r="A6718" s="113" t="s">
        <v>11023</v>
      </c>
      <c r="B6718" s="112" t="s">
        <v>11323</v>
      </c>
    </row>
    <row r="6719" spans="1:2" ht="15">
      <c r="A6719" s="113" t="s">
        <v>11024</v>
      </c>
      <c r="B6719" s="112" t="s">
        <v>11323</v>
      </c>
    </row>
    <row r="6720" spans="1:2" ht="15">
      <c r="A6720" s="113" t="s">
        <v>11025</v>
      </c>
      <c r="B6720" s="112" t="s">
        <v>11323</v>
      </c>
    </row>
    <row r="6721" spans="1:2" ht="15">
      <c r="A6721" s="113" t="s">
        <v>11026</v>
      </c>
      <c r="B6721" s="112" t="s">
        <v>11323</v>
      </c>
    </row>
    <row r="6722" spans="1:2" ht="15">
      <c r="A6722" s="113" t="s">
        <v>11027</v>
      </c>
      <c r="B6722" s="112" t="s">
        <v>11323</v>
      </c>
    </row>
    <row r="6723" spans="1:2" ht="15">
      <c r="A6723" s="113" t="s">
        <v>11028</v>
      </c>
      <c r="B6723" s="112" t="s">
        <v>11323</v>
      </c>
    </row>
    <row r="6724" spans="1:2" ht="15">
      <c r="A6724" s="113" t="s">
        <v>11029</v>
      </c>
      <c r="B6724" s="112" t="s">
        <v>11323</v>
      </c>
    </row>
    <row r="6725" spans="1:2" ht="15">
      <c r="A6725" s="113" t="s">
        <v>11030</v>
      </c>
      <c r="B6725" s="112" t="s">
        <v>11323</v>
      </c>
    </row>
    <row r="6726" spans="1:2" ht="15">
      <c r="A6726" s="113" t="s">
        <v>11031</v>
      </c>
      <c r="B6726" s="112" t="s">
        <v>11323</v>
      </c>
    </row>
    <row r="6727" spans="1:2" ht="15">
      <c r="A6727" s="113" t="s">
        <v>11032</v>
      </c>
      <c r="B6727" s="112" t="s">
        <v>11323</v>
      </c>
    </row>
    <row r="6728" spans="1:2" ht="15">
      <c r="A6728" s="113" t="s">
        <v>11033</v>
      </c>
      <c r="B6728" s="112" t="s">
        <v>11323</v>
      </c>
    </row>
    <row r="6729" spans="1:2" ht="15">
      <c r="A6729" s="113" t="s">
        <v>11034</v>
      </c>
      <c r="B6729" s="112" t="s">
        <v>11323</v>
      </c>
    </row>
    <row r="6730" spans="1:2" ht="15">
      <c r="A6730" s="113" t="s">
        <v>11035</v>
      </c>
      <c r="B6730" s="112" t="s">
        <v>11323</v>
      </c>
    </row>
    <row r="6731" spans="1:2" ht="15">
      <c r="A6731" s="113" t="s">
        <v>11036</v>
      </c>
      <c r="B6731" s="112" t="s">
        <v>11323</v>
      </c>
    </row>
    <row r="6732" spans="1:2" ht="15">
      <c r="A6732" s="113" t="s">
        <v>11037</v>
      </c>
      <c r="B6732" s="112" t="s">
        <v>11323</v>
      </c>
    </row>
    <row r="6733" spans="1:2" ht="15">
      <c r="A6733" s="113" t="s">
        <v>11038</v>
      </c>
      <c r="B6733" s="112" t="s">
        <v>11323</v>
      </c>
    </row>
    <row r="6734" spans="1:2" ht="15">
      <c r="A6734" s="113" t="s">
        <v>11039</v>
      </c>
      <c r="B6734" s="112" t="s">
        <v>11323</v>
      </c>
    </row>
    <row r="6735" spans="1:2" ht="15">
      <c r="A6735" s="113" t="s">
        <v>11040</v>
      </c>
      <c r="B6735" s="112" t="s">
        <v>11323</v>
      </c>
    </row>
    <row r="6736" spans="1:2" ht="15">
      <c r="A6736" s="113" t="s">
        <v>11041</v>
      </c>
      <c r="B6736" s="112" t="s">
        <v>11323</v>
      </c>
    </row>
    <row r="6737" spans="1:2" ht="15">
      <c r="A6737" s="113" t="s">
        <v>11042</v>
      </c>
      <c r="B6737" s="112" t="s">
        <v>11323</v>
      </c>
    </row>
    <row r="6738" spans="1:2" ht="15">
      <c r="A6738" s="113" t="s">
        <v>11043</v>
      </c>
      <c r="B6738" s="112" t="s">
        <v>11323</v>
      </c>
    </row>
    <row r="6739" spans="1:2" ht="15">
      <c r="A6739" s="113" t="s">
        <v>11044</v>
      </c>
      <c r="B6739" s="112" t="s">
        <v>11323</v>
      </c>
    </row>
    <row r="6740" spans="1:2" ht="15">
      <c r="A6740" s="113" t="s">
        <v>11045</v>
      </c>
      <c r="B6740" s="112" t="s">
        <v>11323</v>
      </c>
    </row>
    <row r="6741" spans="1:2" ht="15">
      <c r="A6741" s="113" t="s">
        <v>11046</v>
      </c>
      <c r="B6741" s="112" t="s">
        <v>11323</v>
      </c>
    </row>
    <row r="6742" spans="1:2" ht="15">
      <c r="A6742" s="113" t="s">
        <v>11047</v>
      </c>
      <c r="B6742" s="112" t="s">
        <v>11323</v>
      </c>
    </row>
    <row r="6743" spans="1:2" ht="15">
      <c r="A6743" s="113" t="s">
        <v>11048</v>
      </c>
      <c r="B6743" s="112" t="s">
        <v>11323</v>
      </c>
    </row>
    <row r="6744" spans="1:2" ht="15">
      <c r="A6744" s="113" t="s">
        <v>11049</v>
      </c>
      <c r="B6744" s="112" t="s">
        <v>11323</v>
      </c>
    </row>
    <row r="6745" spans="1:2" ht="15">
      <c r="A6745" s="113" t="s">
        <v>11050</v>
      </c>
      <c r="B6745" s="112" t="s">
        <v>11323</v>
      </c>
    </row>
    <row r="6746" spans="1:2" ht="15">
      <c r="A6746" s="113" t="s">
        <v>11051</v>
      </c>
      <c r="B6746" s="112" t="s">
        <v>11323</v>
      </c>
    </row>
    <row r="6747" spans="1:2" ht="15">
      <c r="A6747" s="113" t="s">
        <v>11052</v>
      </c>
      <c r="B6747" s="112" t="s">
        <v>11323</v>
      </c>
    </row>
    <row r="6748" spans="1:2" ht="15">
      <c r="A6748" s="113" t="s">
        <v>11053</v>
      </c>
      <c r="B6748" s="112" t="s">
        <v>11323</v>
      </c>
    </row>
    <row r="6749" spans="1:2" ht="15">
      <c r="A6749" s="113" t="s">
        <v>11054</v>
      </c>
      <c r="B6749" s="112" t="s">
        <v>11323</v>
      </c>
    </row>
    <row r="6750" spans="1:2" ht="15">
      <c r="A6750" s="113" t="s">
        <v>11055</v>
      </c>
      <c r="B6750" s="112" t="s">
        <v>11323</v>
      </c>
    </row>
    <row r="6751" spans="1:2" ht="15">
      <c r="A6751" s="113" t="s">
        <v>11056</v>
      </c>
      <c r="B6751" s="112" t="s">
        <v>11323</v>
      </c>
    </row>
    <row r="6752" spans="1:2" ht="15">
      <c r="A6752" s="113" t="s">
        <v>11057</v>
      </c>
      <c r="B6752" s="112" t="s">
        <v>11323</v>
      </c>
    </row>
    <row r="6753" spans="1:2" ht="15">
      <c r="A6753" s="113" t="s">
        <v>11058</v>
      </c>
      <c r="B6753" s="112" t="s">
        <v>11323</v>
      </c>
    </row>
    <row r="6754" spans="1:2" ht="15">
      <c r="A6754" s="113" t="s">
        <v>11059</v>
      </c>
      <c r="B6754" s="112" t="s">
        <v>11323</v>
      </c>
    </row>
    <row r="6755" spans="1:2" ht="15">
      <c r="A6755" s="113" t="s">
        <v>11060</v>
      </c>
      <c r="B6755" s="112" t="s">
        <v>11323</v>
      </c>
    </row>
    <row r="6756" spans="1:2" ht="15">
      <c r="A6756" s="113" t="s">
        <v>11061</v>
      </c>
      <c r="B6756" s="112" t="s">
        <v>11323</v>
      </c>
    </row>
    <row r="6757" spans="1:2" ht="15">
      <c r="A6757" s="113" t="s">
        <v>11062</v>
      </c>
      <c r="B6757" s="112" t="s">
        <v>11323</v>
      </c>
    </row>
    <row r="6758" spans="1:2" ht="15">
      <c r="A6758" s="113" t="s">
        <v>11063</v>
      </c>
      <c r="B6758" s="112" t="s">
        <v>11323</v>
      </c>
    </row>
    <row r="6759" spans="1:2" ht="15">
      <c r="A6759" s="113" t="s">
        <v>11064</v>
      </c>
      <c r="B6759" s="112" t="s">
        <v>11323</v>
      </c>
    </row>
    <row r="6760" spans="1:2" ht="15">
      <c r="A6760" s="113" t="s">
        <v>11065</v>
      </c>
      <c r="B6760" s="112" t="s">
        <v>11323</v>
      </c>
    </row>
    <row r="6761" spans="1:2" ht="15">
      <c r="A6761" s="113" t="s">
        <v>11066</v>
      </c>
      <c r="B6761" s="112" t="s">
        <v>11323</v>
      </c>
    </row>
    <row r="6762" spans="1:2" ht="15">
      <c r="A6762" s="113" t="s">
        <v>11067</v>
      </c>
      <c r="B6762" s="112" t="s">
        <v>11323</v>
      </c>
    </row>
    <row r="6763" spans="1:2" ht="15">
      <c r="A6763" s="113" t="s">
        <v>11068</v>
      </c>
      <c r="B6763" s="112" t="s">
        <v>11323</v>
      </c>
    </row>
    <row r="6764" spans="1:2" ht="15">
      <c r="A6764" s="113" t="s">
        <v>11069</v>
      </c>
      <c r="B6764" s="112" t="s">
        <v>11323</v>
      </c>
    </row>
    <row r="6765" spans="1:2" ht="15">
      <c r="A6765" s="113" t="s">
        <v>11070</v>
      </c>
      <c r="B6765" s="112" t="s">
        <v>11323</v>
      </c>
    </row>
    <row r="6766" spans="1:2" ht="15">
      <c r="A6766" s="113" t="s">
        <v>11071</v>
      </c>
      <c r="B6766" s="112" t="s">
        <v>11323</v>
      </c>
    </row>
    <row r="6767" spans="1:2" ht="15">
      <c r="A6767" s="113" t="s">
        <v>11072</v>
      </c>
      <c r="B6767" s="112" t="s">
        <v>11323</v>
      </c>
    </row>
    <row r="6768" spans="1:2" ht="15">
      <c r="A6768" s="113" t="s">
        <v>11073</v>
      </c>
      <c r="B6768" s="112" t="s">
        <v>11323</v>
      </c>
    </row>
    <row r="6769" spans="1:2" ht="15">
      <c r="A6769" s="113" t="s">
        <v>11074</v>
      </c>
      <c r="B6769" s="112" t="s">
        <v>11323</v>
      </c>
    </row>
    <row r="6770" spans="1:2" ht="15">
      <c r="A6770" s="113" t="s">
        <v>11075</v>
      </c>
      <c r="B6770" s="112" t="s">
        <v>11323</v>
      </c>
    </row>
    <row r="6771" spans="1:2" ht="15">
      <c r="A6771" s="113" t="s">
        <v>11076</v>
      </c>
      <c r="B6771" s="112" t="s">
        <v>11323</v>
      </c>
    </row>
    <row r="6772" spans="1:2" ht="15">
      <c r="A6772" s="113" t="s">
        <v>11077</v>
      </c>
      <c r="B6772" s="112" t="s">
        <v>11323</v>
      </c>
    </row>
    <row r="6773" spans="1:2" ht="15">
      <c r="A6773" s="113" t="s">
        <v>11078</v>
      </c>
      <c r="B6773" s="112" t="s">
        <v>11323</v>
      </c>
    </row>
    <row r="6774" spans="1:2" ht="15">
      <c r="A6774" s="113" t="s">
        <v>11079</v>
      </c>
      <c r="B6774" s="112" t="s">
        <v>11323</v>
      </c>
    </row>
    <row r="6775" spans="1:2" ht="15">
      <c r="A6775" s="113" t="s">
        <v>11080</v>
      </c>
      <c r="B6775" s="112" t="s">
        <v>11323</v>
      </c>
    </row>
    <row r="6776" spans="1:2" ht="15">
      <c r="A6776" s="113" t="s">
        <v>11081</v>
      </c>
      <c r="B6776" s="112" t="s">
        <v>11323</v>
      </c>
    </row>
    <row r="6777" spans="1:2" ht="15">
      <c r="A6777" s="113" t="s">
        <v>11082</v>
      </c>
      <c r="B6777" s="112" t="s">
        <v>11323</v>
      </c>
    </row>
    <row r="6778" spans="1:2" ht="15">
      <c r="A6778" s="113" t="s">
        <v>11083</v>
      </c>
      <c r="B6778" s="112" t="s">
        <v>11323</v>
      </c>
    </row>
    <row r="6779" spans="1:2" ht="15">
      <c r="A6779" s="113" t="s">
        <v>11084</v>
      </c>
      <c r="B6779" s="112" t="s">
        <v>11323</v>
      </c>
    </row>
    <row r="6780" spans="1:2" ht="15">
      <c r="A6780" s="113" t="s">
        <v>11085</v>
      </c>
      <c r="B6780" s="112" t="s">
        <v>11323</v>
      </c>
    </row>
    <row r="6781" spans="1:2" ht="15">
      <c r="A6781" s="113" t="s">
        <v>11086</v>
      </c>
      <c r="B6781" s="112" t="s">
        <v>11323</v>
      </c>
    </row>
    <row r="6782" spans="1:2" ht="15">
      <c r="A6782" s="113" t="s">
        <v>11087</v>
      </c>
      <c r="B6782" s="112" t="s">
        <v>11323</v>
      </c>
    </row>
    <row r="6783" spans="1:2" ht="15">
      <c r="A6783" s="113" t="s">
        <v>11088</v>
      </c>
      <c r="B6783" s="112" t="s">
        <v>11323</v>
      </c>
    </row>
    <row r="6784" spans="1:2" ht="15">
      <c r="A6784" s="113" t="s">
        <v>11089</v>
      </c>
      <c r="B6784" s="112" t="s">
        <v>11323</v>
      </c>
    </row>
    <row r="6785" spans="1:2" ht="15">
      <c r="A6785" s="113" t="s">
        <v>11090</v>
      </c>
      <c r="B6785" s="112" t="s">
        <v>11323</v>
      </c>
    </row>
    <row r="6786" spans="1:2" ht="15">
      <c r="A6786" s="113" t="s">
        <v>11091</v>
      </c>
      <c r="B6786" s="112" t="s">
        <v>11323</v>
      </c>
    </row>
    <row r="6787" spans="1:2" ht="15">
      <c r="A6787" s="113" t="s">
        <v>11092</v>
      </c>
      <c r="B6787" s="112" t="s">
        <v>11323</v>
      </c>
    </row>
    <row r="6788" spans="1:2" ht="15">
      <c r="A6788" s="113" t="s">
        <v>11093</v>
      </c>
      <c r="B6788" s="112" t="s">
        <v>11323</v>
      </c>
    </row>
    <row r="6789" spans="1:2" ht="15">
      <c r="A6789" s="113" t="s">
        <v>11094</v>
      </c>
      <c r="B6789" s="112" t="s">
        <v>11323</v>
      </c>
    </row>
    <row r="6790" spans="1:2" ht="15">
      <c r="A6790" s="113" t="s">
        <v>11095</v>
      </c>
      <c r="B6790" s="112" t="s">
        <v>11323</v>
      </c>
    </row>
    <row r="6791" spans="1:2" ht="15">
      <c r="A6791" s="113" t="s">
        <v>11096</v>
      </c>
      <c r="B6791" s="112" t="s">
        <v>11323</v>
      </c>
    </row>
    <row r="6792" spans="1:2" ht="15">
      <c r="A6792" s="113" t="s">
        <v>11097</v>
      </c>
      <c r="B6792" s="112" t="s">
        <v>11323</v>
      </c>
    </row>
    <row r="6793" spans="1:2" ht="15">
      <c r="A6793" s="113" t="s">
        <v>11098</v>
      </c>
      <c r="B6793" s="112" t="s">
        <v>11323</v>
      </c>
    </row>
    <row r="6794" spans="1:2" ht="15">
      <c r="A6794" s="113" t="s">
        <v>11099</v>
      </c>
      <c r="B6794" s="112" t="s">
        <v>11323</v>
      </c>
    </row>
    <row r="6795" spans="1:2" ht="15">
      <c r="A6795" s="113" t="s">
        <v>11100</v>
      </c>
      <c r="B6795" s="112" t="s">
        <v>11323</v>
      </c>
    </row>
    <row r="6796" spans="1:2" ht="15">
      <c r="A6796" s="113" t="s">
        <v>11101</v>
      </c>
      <c r="B6796" s="112" t="s">
        <v>11323</v>
      </c>
    </row>
    <row r="6797" spans="1:2" ht="15">
      <c r="A6797" s="113" t="s">
        <v>11102</v>
      </c>
      <c r="B6797" s="112" t="s">
        <v>11323</v>
      </c>
    </row>
    <row r="6798" spans="1:2" ht="15">
      <c r="A6798" s="113" t="s">
        <v>11103</v>
      </c>
      <c r="B6798" s="112" t="s">
        <v>11323</v>
      </c>
    </row>
    <row r="6799" spans="1:2" ht="15">
      <c r="A6799" s="113" t="s">
        <v>11104</v>
      </c>
      <c r="B6799" s="112" t="s">
        <v>11323</v>
      </c>
    </row>
    <row r="6800" spans="1:2" ht="15">
      <c r="A6800" s="113" t="s">
        <v>11105</v>
      </c>
      <c r="B6800" s="112" t="s">
        <v>11323</v>
      </c>
    </row>
    <row r="6801" spans="1:2" ht="15">
      <c r="A6801" s="113" t="s">
        <v>11106</v>
      </c>
      <c r="B6801" s="112" t="s">
        <v>11323</v>
      </c>
    </row>
    <row r="6802" spans="1:2" ht="15">
      <c r="A6802" s="113" t="s">
        <v>11107</v>
      </c>
      <c r="B6802" s="112" t="s">
        <v>11323</v>
      </c>
    </row>
    <row r="6803" spans="1:2" ht="15">
      <c r="A6803" s="113" t="s">
        <v>11108</v>
      </c>
      <c r="B6803" s="112" t="s">
        <v>11323</v>
      </c>
    </row>
    <row r="6804" spans="1:2" ht="15">
      <c r="A6804" s="113" t="s">
        <v>11109</v>
      </c>
      <c r="B6804" s="112" t="s">
        <v>11323</v>
      </c>
    </row>
    <row r="6805" spans="1:2" ht="15">
      <c r="A6805" s="113" t="s">
        <v>11110</v>
      </c>
      <c r="B6805" s="112" t="s">
        <v>11323</v>
      </c>
    </row>
    <row r="6806" spans="1:2" ht="15">
      <c r="A6806" s="113" t="s">
        <v>11111</v>
      </c>
      <c r="B6806" s="112" t="s">
        <v>11323</v>
      </c>
    </row>
    <row r="6807" spans="1:2" ht="15">
      <c r="A6807" s="113" t="s">
        <v>11112</v>
      </c>
      <c r="B6807" s="112" t="s">
        <v>11323</v>
      </c>
    </row>
    <row r="6808" spans="1:2" ht="15">
      <c r="A6808" s="113" t="s">
        <v>11113</v>
      </c>
      <c r="B6808" s="112" t="s">
        <v>11323</v>
      </c>
    </row>
    <row r="6809" spans="1:2" ht="15">
      <c r="A6809" s="113" t="s">
        <v>11114</v>
      </c>
      <c r="B6809" s="112" t="s">
        <v>11323</v>
      </c>
    </row>
    <row r="6810" spans="1:2" ht="15">
      <c r="A6810" s="113" t="s">
        <v>11115</v>
      </c>
      <c r="B6810" s="112" t="s">
        <v>11323</v>
      </c>
    </row>
    <row r="6811" spans="1:2" ht="15">
      <c r="A6811" s="113" t="s">
        <v>11116</v>
      </c>
      <c r="B6811" s="112" t="s">
        <v>11323</v>
      </c>
    </row>
    <row r="6812" spans="1:2" ht="15">
      <c r="A6812" s="113" t="s">
        <v>11117</v>
      </c>
      <c r="B6812" s="112" t="s">
        <v>11323</v>
      </c>
    </row>
    <row r="6813" spans="1:2" ht="15">
      <c r="A6813" s="113" t="s">
        <v>11118</v>
      </c>
      <c r="B6813" s="112" t="s">
        <v>11323</v>
      </c>
    </row>
    <row r="6814" spans="1:2" ht="15">
      <c r="A6814" s="113" t="s">
        <v>11119</v>
      </c>
      <c r="B6814" s="112" t="s">
        <v>11323</v>
      </c>
    </row>
    <row r="6815" spans="1:2" ht="15">
      <c r="A6815" s="113" t="s">
        <v>11120</v>
      </c>
      <c r="B6815" s="112" t="s">
        <v>11323</v>
      </c>
    </row>
    <row r="6816" spans="1:2" ht="15">
      <c r="A6816" s="113" t="s">
        <v>11121</v>
      </c>
      <c r="B6816" s="112" t="s">
        <v>11323</v>
      </c>
    </row>
    <row r="6817" spans="1:2" ht="15">
      <c r="A6817" s="113" t="s">
        <v>11122</v>
      </c>
      <c r="B6817" s="112" t="s">
        <v>11323</v>
      </c>
    </row>
    <row r="6818" spans="1:2" ht="15">
      <c r="A6818" s="113" t="s">
        <v>11123</v>
      </c>
      <c r="B6818" s="112" t="s">
        <v>11323</v>
      </c>
    </row>
    <row r="6819" spans="1:2" ht="15">
      <c r="A6819" s="113" t="s">
        <v>11124</v>
      </c>
      <c r="B6819" s="112" t="s">
        <v>11323</v>
      </c>
    </row>
    <row r="6820" spans="1:2" ht="15">
      <c r="A6820" s="113" t="s">
        <v>11125</v>
      </c>
      <c r="B6820" s="112" t="s">
        <v>11323</v>
      </c>
    </row>
    <row r="6821" spans="1:2" ht="15">
      <c r="A6821" s="113" t="s">
        <v>11126</v>
      </c>
      <c r="B6821" s="112" t="s">
        <v>11323</v>
      </c>
    </row>
    <row r="6822" spans="1:2" ht="15">
      <c r="A6822" s="113" t="s">
        <v>11127</v>
      </c>
      <c r="B6822" s="112" t="s">
        <v>11323</v>
      </c>
    </row>
    <row r="6823" spans="1:2" ht="15">
      <c r="A6823" s="113" t="s">
        <v>11128</v>
      </c>
      <c r="B6823" s="112" t="s">
        <v>11323</v>
      </c>
    </row>
    <row r="6824" spans="1:2" ht="15">
      <c r="A6824" s="113" t="s">
        <v>11129</v>
      </c>
      <c r="B6824" s="112" t="s">
        <v>11323</v>
      </c>
    </row>
    <row r="6825" spans="1:2" ht="15">
      <c r="A6825" s="113" t="s">
        <v>11130</v>
      </c>
      <c r="B6825" s="112" t="s">
        <v>11323</v>
      </c>
    </row>
    <row r="6826" spans="1:2" ht="15">
      <c r="A6826" s="113" t="s">
        <v>11131</v>
      </c>
      <c r="B6826" s="112" t="s">
        <v>11323</v>
      </c>
    </row>
    <row r="6827" spans="1:2" ht="15">
      <c r="A6827" s="113" t="s">
        <v>11132</v>
      </c>
      <c r="B6827" s="112" t="s">
        <v>11323</v>
      </c>
    </row>
    <row r="6828" spans="1:2" ht="15">
      <c r="A6828" s="113" t="s">
        <v>11133</v>
      </c>
      <c r="B6828" s="112" t="s">
        <v>11323</v>
      </c>
    </row>
    <row r="6829" spans="1:2" ht="15">
      <c r="A6829" s="113" t="s">
        <v>11134</v>
      </c>
      <c r="B6829" s="112" t="s">
        <v>11323</v>
      </c>
    </row>
    <row r="6830" spans="1:2" ht="15">
      <c r="A6830" s="113" t="s">
        <v>11135</v>
      </c>
      <c r="B6830" s="112" t="s">
        <v>11323</v>
      </c>
    </row>
    <row r="6831" spans="1:2" ht="15">
      <c r="A6831" s="113" t="s">
        <v>11136</v>
      </c>
      <c r="B6831" s="112" t="s">
        <v>11323</v>
      </c>
    </row>
    <row r="6832" spans="1:2" ht="15">
      <c r="A6832" s="113" t="s">
        <v>11137</v>
      </c>
      <c r="B6832" s="112" t="s">
        <v>11323</v>
      </c>
    </row>
    <row r="6833" spans="1:2" ht="15">
      <c r="A6833" s="113" t="s">
        <v>11138</v>
      </c>
      <c r="B6833" s="112" t="s">
        <v>11323</v>
      </c>
    </row>
    <row r="6834" spans="1:2" ht="15">
      <c r="A6834" s="113" t="s">
        <v>11139</v>
      </c>
      <c r="B6834" s="112" t="s">
        <v>11323</v>
      </c>
    </row>
    <row r="6835" spans="1:2" ht="15">
      <c r="A6835" s="113" t="s">
        <v>11140</v>
      </c>
      <c r="B6835" s="112" t="s">
        <v>11323</v>
      </c>
    </row>
    <row r="6836" spans="1:2" ht="15">
      <c r="A6836" s="113" t="s">
        <v>11141</v>
      </c>
      <c r="B6836" s="112" t="s">
        <v>11323</v>
      </c>
    </row>
    <row r="6837" spans="1:2" ht="15">
      <c r="A6837" s="113" t="s">
        <v>11142</v>
      </c>
      <c r="B6837" s="112" t="s">
        <v>11323</v>
      </c>
    </row>
    <row r="6838" spans="1:2" ht="15">
      <c r="A6838" s="113" t="s">
        <v>11143</v>
      </c>
      <c r="B6838" s="112" t="s">
        <v>11323</v>
      </c>
    </row>
    <row r="6839" spans="1:2" ht="15">
      <c r="A6839" s="113" t="s">
        <v>11144</v>
      </c>
      <c r="B6839" s="112" t="s">
        <v>11323</v>
      </c>
    </row>
    <row r="6840" spans="1:2" ht="15">
      <c r="A6840" s="113" t="s">
        <v>11145</v>
      </c>
      <c r="B6840" s="112" t="s">
        <v>11323</v>
      </c>
    </row>
    <row r="6841" spans="1:2" ht="15">
      <c r="A6841" s="113" t="s">
        <v>11146</v>
      </c>
      <c r="B6841" s="112" t="s">
        <v>11323</v>
      </c>
    </row>
    <row r="6842" spans="1:2" ht="15">
      <c r="A6842" s="113" t="s">
        <v>11147</v>
      </c>
      <c r="B6842" s="112" t="s">
        <v>11323</v>
      </c>
    </row>
    <row r="6843" spans="1:2" ht="15">
      <c r="A6843" s="113" t="s">
        <v>11148</v>
      </c>
      <c r="B6843" s="112" t="s">
        <v>11323</v>
      </c>
    </row>
    <row r="6844" spans="1:2" ht="15">
      <c r="A6844" s="113" t="s">
        <v>11149</v>
      </c>
      <c r="B6844" s="112" t="s">
        <v>11323</v>
      </c>
    </row>
    <row r="6845" spans="1:2" ht="15">
      <c r="A6845" s="113" t="s">
        <v>11150</v>
      </c>
      <c r="B6845" s="112" t="s">
        <v>11323</v>
      </c>
    </row>
    <row r="6846" spans="1:2" ht="15">
      <c r="A6846" s="113" t="s">
        <v>11151</v>
      </c>
      <c r="B6846" s="112" t="s">
        <v>11323</v>
      </c>
    </row>
    <row r="6847" spans="1:2" ht="15">
      <c r="A6847" s="113" t="s">
        <v>11152</v>
      </c>
      <c r="B6847" s="112" t="s">
        <v>11323</v>
      </c>
    </row>
    <row r="6848" spans="1:2" ht="15">
      <c r="A6848" s="113" t="s">
        <v>11153</v>
      </c>
      <c r="B6848" s="112" t="s">
        <v>11323</v>
      </c>
    </row>
    <row r="6849" spans="1:2" ht="15">
      <c r="A6849" s="113" t="s">
        <v>11154</v>
      </c>
      <c r="B6849" s="112" t="s">
        <v>11323</v>
      </c>
    </row>
    <row r="6850" spans="1:2" ht="15">
      <c r="A6850" s="113" t="s">
        <v>11155</v>
      </c>
      <c r="B6850" s="112" t="s">
        <v>11323</v>
      </c>
    </row>
    <row r="6851" spans="1:2" ht="15">
      <c r="A6851" s="113" t="s">
        <v>11156</v>
      </c>
      <c r="B6851" s="112" t="s">
        <v>11323</v>
      </c>
    </row>
    <row r="6852" spans="1:2" ht="15">
      <c r="A6852" s="113" t="s">
        <v>11157</v>
      </c>
      <c r="B6852" s="112" t="s">
        <v>11323</v>
      </c>
    </row>
    <row r="6853" spans="1:2" ht="15">
      <c r="A6853" s="113" t="s">
        <v>11158</v>
      </c>
      <c r="B6853" s="112" t="s">
        <v>11323</v>
      </c>
    </row>
    <row r="6854" spans="1:2" ht="15">
      <c r="A6854" s="113" t="s">
        <v>11159</v>
      </c>
      <c r="B6854" s="112" t="s">
        <v>11323</v>
      </c>
    </row>
    <row r="6855" spans="1:2" ht="15">
      <c r="A6855" s="113" t="s">
        <v>11160</v>
      </c>
      <c r="B6855" s="112" t="s">
        <v>11323</v>
      </c>
    </row>
    <row r="6856" spans="1:2" ht="15">
      <c r="A6856" s="113" t="s">
        <v>11161</v>
      </c>
      <c r="B6856" s="112" t="s">
        <v>11323</v>
      </c>
    </row>
    <row r="6857" spans="1:2" ht="15">
      <c r="A6857" s="113" t="s">
        <v>11162</v>
      </c>
      <c r="B6857" s="112" t="s">
        <v>11323</v>
      </c>
    </row>
    <row r="6858" spans="1:2" ht="15">
      <c r="A6858" s="113" t="s">
        <v>11163</v>
      </c>
      <c r="B6858" s="112" t="s">
        <v>11323</v>
      </c>
    </row>
    <row r="6859" spans="1:2" ht="15">
      <c r="A6859" s="113" t="s">
        <v>11164</v>
      </c>
      <c r="B6859" s="112" t="s">
        <v>11323</v>
      </c>
    </row>
    <row r="6860" spans="1:2" ht="15">
      <c r="A6860" s="113" t="s">
        <v>11165</v>
      </c>
      <c r="B6860" s="112" t="s">
        <v>11323</v>
      </c>
    </row>
    <row r="6861" spans="1:2" ht="15">
      <c r="A6861" s="113" t="s">
        <v>11166</v>
      </c>
      <c r="B6861" s="112" t="s">
        <v>11323</v>
      </c>
    </row>
    <row r="6862" spans="1:2" ht="15">
      <c r="A6862" s="113" t="s">
        <v>11167</v>
      </c>
      <c r="B6862" s="112" t="s">
        <v>11323</v>
      </c>
    </row>
    <row r="6863" spans="1:2" ht="15">
      <c r="A6863" s="113" t="s">
        <v>11168</v>
      </c>
      <c r="B6863" s="112" t="s">
        <v>11323</v>
      </c>
    </row>
    <row r="6864" spans="1:2" ht="15">
      <c r="A6864" s="113" t="s">
        <v>11169</v>
      </c>
      <c r="B6864" s="112" t="s">
        <v>11323</v>
      </c>
    </row>
    <row r="6865" spans="1:2" ht="15">
      <c r="A6865" s="113" t="s">
        <v>11170</v>
      </c>
      <c r="B6865" s="112" t="s">
        <v>11323</v>
      </c>
    </row>
    <row r="6866" spans="1:2" ht="15">
      <c r="A6866" s="113" t="s">
        <v>11171</v>
      </c>
      <c r="B6866" s="112" t="s">
        <v>11323</v>
      </c>
    </row>
    <row r="6867" spans="1:2" ht="15">
      <c r="A6867" s="113" t="s">
        <v>11172</v>
      </c>
      <c r="B6867" s="112" t="s">
        <v>11323</v>
      </c>
    </row>
    <row r="6868" spans="1:2" ht="15">
      <c r="A6868" s="113" t="s">
        <v>11173</v>
      </c>
      <c r="B6868" s="112" t="s">
        <v>11323</v>
      </c>
    </row>
    <row r="6869" spans="1:2" ht="15">
      <c r="A6869" s="113" t="s">
        <v>11174</v>
      </c>
      <c r="B6869" s="112" t="s">
        <v>11323</v>
      </c>
    </row>
    <row r="6870" spans="1:2" ht="15">
      <c r="A6870" s="113" t="s">
        <v>11175</v>
      </c>
      <c r="B6870" s="112" t="s">
        <v>11323</v>
      </c>
    </row>
    <row r="6871" spans="1:2" ht="15">
      <c r="A6871" s="113" t="s">
        <v>11176</v>
      </c>
      <c r="B6871" s="112" t="s">
        <v>11323</v>
      </c>
    </row>
    <row r="6872" spans="1:2" ht="15">
      <c r="A6872" s="113" t="s">
        <v>11177</v>
      </c>
      <c r="B6872" s="112" t="s">
        <v>11323</v>
      </c>
    </row>
    <row r="6873" spans="1:2" ht="15">
      <c r="A6873" s="113" t="s">
        <v>11178</v>
      </c>
      <c r="B6873" s="112" t="s">
        <v>11323</v>
      </c>
    </row>
    <row r="6874" spans="1:2" ht="15">
      <c r="A6874" s="113" t="s">
        <v>11179</v>
      </c>
      <c r="B6874" s="112" t="s">
        <v>11323</v>
      </c>
    </row>
    <row r="6875" spans="1:2" ht="15">
      <c r="A6875" s="113" t="s">
        <v>11180</v>
      </c>
      <c r="B6875" s="112" t="s">
        <v>11323</v>
      </c>
    </row>
    <row r="6876" spans="1:2" ht="15">
      <c r="A6876" s="113" t="s">
        <v>11181</v>
      </c>
      <c r="B6876" s="112" t="s">
        <v>11323</v>
      </c>
    </row>
    <row r="6877" spans="1:2" ht="15">
      <c r="A6877" s="113" t="s">
        <v>11182</v>
      </c>
      <c r="B6877" s="112" t="s">
        <v>11323</v>
      </c>
    </row>
    <row r="6878" spans="1:2" ht="15">
      <c r="A6878" s="113" t="s">
        <v>11183</v>
      </c>
      <c r="B6878" s="112" t="s">
        <v>11323</v>
      </c>
    </row>
    <row r="6879" spans="1:2" ht="15">
      <c r="A6879" s="113" t="s">
        <v>11184</v>
      </c>
      <c r="B6879" s="112" t="s">
        <v>11323</v>
      </c>
    </row>
    <row r="6880" spans="1:2" ht="15">
      <c r="A6880" s="113" t="s">
        <v>11185</v>
      </c>
      <c r="B6880" s="112" t="s">
        <v>11323</v>
      </c>
    </row>
    <row r="6881" spans="1:2" ht="15">
      <c r="A6881" s="113" t="s">
        <v>11186</v>
      </c>
      <c r="B6881" s="112" t="s">
        <v>11323</v>
      </c>
    </row>
    <row r="6882" spans="1:2" ht="15">
      <c r="A6882" s="113" t="s">
        <v>11187</v>
      </c>
      <c r="B6882" s="112" t="s">
        <v>11323</v>
      </c>
    </row>
    <row r="6883" spans="1:2" ht="15">
      <c r="A6883" s="113" t="s">
        <v>11188</v>
      </c>
      <c r="B6883" s="112" t="s">
        <v>11323</v>
      </c>
    </row>
    <row r="6884" spans="1:2" ht="15">
      <c r="A6884" s="113" t="s">
        <v>11189</v>
      </c>
      <c r="B6884" s="112" t="s">
        <v>11323</v>
      </c>
    </row>
    <row r="6885" spans="1:2" ht="15">
      <c r="A6885" s="113" t="s">
        <v>11190</v>
      </c>
      <c r="B6885" s="112" t="s">
        <v>11323</v>
      </c>
    </row>
    <row r="6886" spans="1:2" ht="15">
      <c r="A6886" s="113" t="s">
        <v>11191</v>
      </c>
      <c r="B6886" s="112" t="s">
        <v>11323</v>
      </c>
    </row>
    <row r="6887" spans="1:2" ht="15">
      <c r="A6887" s="113" t="s">
        <v>11192</v>
      </c>
      <c r="B6887" s="112" t="s">
        <v>11323</v>
      </c>
    </row>
    <row r="6888" spans="1:2" ht="15">
      <c r="A6888" s="113" t="s">
        <v>11193</v>
      </c>
      <c r="B6888" s="112" t="s">
        <v>11323</v>
      </c>
    </row>
    <row r="6889" spans="1:2" ht="15">
      <c r="A6889" s="113" t="s">
        <v>11194</v>
      </c>
      <c r="B6889" s="112" t="s">
        <v>11323</v>
      </c>
    </row>
    <row r="6890" spans="1:2" ht="15">
      <c r="A6890" s="113" t="s">
        <v>11195</v>
      </c>
      <c r="B6890" s="112" t="s">
        <v>11323</v>
      </c>
    </row>
    <row r="6891" spans="1:2" ht="15">
      <c r="A6891" s="113" t="s">
        <v>11196</v>
      </c>
      <c r="B6891" s="112" t="s">
        <v>11323</v>
      </c>
    </row>
    <row r="6892" spans="1:2" ht="15">
      <c r="A6892" s="113" t="s">
        <v>11197</v>
      </c>
      <c r="B6892" s="112" t="s">
        <v>11323</v>
      </c>
    </row>
    <row r="6893" spans="1:2" ht="15">
      <c r="A6893" s="113" t="s">
        <v>11198</v>
      </c>
      <c r="B6893" s="112" t="s">
        <v>11323</v>
      </c>
    </row>
    <row r="6894" spans="1:2" ht="15">
      <c r="A6894" s="113" t="s">
        <v>11199</v>
      </c>
      <c r="B6894" s="112" t="s">
        <v>11323</v>
      </c>
    </row>
    <row r="6895" spans="1:2" ht="15">
      <c r="A6895" s="113" t="s">
        <v>11200</v>
      </c>
      <c r="B6895" s="112" t="s">
        <v>11323</v>
      </c>
    </row>
    <row r="6896" spans="1:2" ht="15">
      <c r="A6896" s="113" t="s">
        <v>11201</v>
      </c>
      <c r="B6896" s="112" t="s">
        <v>11323</v>
      </c>
    </row>
    <row r="6897" spans="1:2" ht="15">
      <c r="A6897" s="113" t="s">
        <v>11202</v>
      </c>
      <c r="B6897" s="112" t="s">
        <v>11323</v>
      </c>
    </row>
    <row r="6898" spans="1:2" ht="15">
      <c r="A6898" s="113" t="s">
        <v>11203</v>
      </c>
      <c r="B6898" s="112" t="s">
        <v>11323</v>
      </c>
    </row>
    <row r="6899" spans="1:2" ht="15">
      <c r="A6899" s="113" t="s">
        <v>11204</v>
      </c>
      <c r="B6899" s="112" t="s">
        <v>11323</v>
      </c>
    </row>
    <row r="6900" spans="1:2" ht="15">
      <c r="A6900" s="113" t="s">
        <v>11205</v>
      </c>
      <c r="B6900" s="112" t="s">
        <v>11323</v>
      </c>
    </row>
    <row r="6901" spans="1:2" ht="15">
      <c r="A6901" s="113" t="s">
        <v>11206</v>
      </c>
      <c r="B6901" s="112" t="s">
        <v>11323</v>
      </c>
    </row>
    <row r="6902" spans="1:2" ht="15">
      <c r="A6902" s="113" t="s">
        <v>11207</v>
      </c>
      <c r="B6902" s="112" t="s">
        <v>11323</v>
      </c>
    </row>
    <row r="6903" spans="1:2" ht="15">
      <c r="A6903" s="113" t="s">
        <v>11208</v>
      </c>
      <c r="B6903" s="112" t="s">
        <v>11323</v>
      </c>
    </row>
    <row r="6904" spans="1:2" ht="15">
      <c r="A6904" s="113" t="s">
        <v>11209</v>
      </c>
      <c r="B6904" s="112" t="s">
        <v>11323</v>
      </c>
    </row>
    <row r="6905" spans="1:2" ht="15">
      <c r="A6905" s="113" t="s">
        <v>11210</v>
      </c>
      <c r="B6905" s="112" t="s">
        <v>11323</v>
      </c>
    </row>
    <row r="6906" spans="1:2" ht="15">
      <c r="A6906" s="113" t="s">
        <v>11211</v>
      </c>
      <c r="B6906" s="112" t="s">
        <v>11323</v>
      </c>
    </row>
    <row r="6907" spans="1:2" ht="15">
      <c r="A6907" s="113" t="s">
        <v>11212</v>
      </c>
      <c r="B6907" s="112" t="s">
        <v>11323</v>
      </c>
    </row>
    <row r="6908" spans="1:2" ht="15">
      <c r="A6908" s="113" t="s">
        <v>11213</v>
      </c>
      <c r="B6908" s="112" t="s">
        <v>11323</v>
      </c>
    </row>
    <row r="6909" spans="1:2" ht="15">
      <c r="A6909" s="113" t="s">
        <v>11214</v>
      </c>
      <c r="B6909" s="112" t="s">
        <v>11323</v>
      </c>
    </row>
    <row r="6910" spans="1:2" ht="15">
      <c r="A6910" s="113" t="s">
        <v>11215</v>
      </c>
      <c r="B6910" s="112" t="s">
        <v>11323</v>
      </c>
    </row>
    <row r="6911" spans="1:2" ht="15">
      <c r="A6911" s="113" t="s">
        <v>11216</v>
      </c>
      <c r="B6911" s="112" t="s">
        <v>11323</v>
      </c>
    </row>
    <row r="6912" spans="1:2" ht="15">
      <c r="A6912" s="113" t="s">
        <v>11217</v>
      </c>
      <c r="B6912" s="112" t="s">
        <v>11323</v>
      </c>
    </row>
    <row r="6913" spans="1:2" ht="15">
      <c r="A6913" s="113" t="s">
        <v>11218</v>
      </c>
      <c r="B6913" s="112" t="s">
        <v>11323</v>
      </c>
    </row>
    <row r="6914" spans="1:2" ht="15">
      <c r="A6914" s="113" t="s">
        <v>11219</v>
      </c>
      <c r="B6914" s="112" t="s">
        <v>11323</v>
      </c>
    </row>
    <row r="6915" spans="1:2" ht="15">
      <c r="A6915" s="113" t="s">
        <v>11220</v>
      </c>
      <c r="B6915" s="112" t="s">
        <v>11323</v>
      </c>
    </row>
    <row r="6916" spans="1:2" ht="15">
      <c r="A6916" s="113" t="s">
        <v>11221</v>
      </c>
      <c r="B6916" s="112" t="s">
        <v>11323</v>
      </c>
    </row>
    <row r="6917" spans="1:2" ht="15">
      <c r="A6917" s="113" t="s">
        <v>11222</v>
      </c>
      <c r="B6917" s="112" t="s">
        <v>11323</v>
      </c>
    </row>
    <row r="6918" spans="1:2" ht="15">
      <c r="A6918" s="113" t="s">
        <v>11223</v>
      </c>
      <c r="B6918" s="112" t="s">
        <v>11323</v>
      </c>
    </row>
    <row r="6919" spans="1:2" ht="15">
      <c r="A6919" s="113" t="s">
        <v>11224</v>
      </c>
      <c r="B6919" s="112" t="s">
        <v>11323</v>
      </c>
    </row>
    <row r="6920" spans="1:2" ht="15">
      <c r="A6920" s="113" t="s">
        <v>11225</v>
      </c>
      <c r="B6920" s="112" t="s">
        <v>11323</v>
      </c>
    </row>
    <row r="6921" spans="1:2" ht="15">
      <c r="A6921" s="113" t="s">
        <v>11226</v>
      </c>
      <c r="B6921" s="112" t="s">
        <v>11323</v>
      </c>
    </row>
    <row r="6922" spans="1:2" ht="15">
      <c r="A6922" s="113" t="s">
        <v>11227</v>
      </c>
      <c r="B6922" s="112" t="s">
        <v>11323</v>
      </c>
    </row>
    <row r="6923" spans="1:2" ht="15">
      <c r="A6923" s="113" t="s">
        <v>11228</v>
      </c>
      <c r="B6923" s="112" t="s">
        <v>11323</v>
      </c>
    </row>
    <row r="6924" spans="1:2" ht="15">
      <c r="A6924" s="113" t="s">
        <v>11229</v>
      </c>
      <c r="B6924" s="112" t="s">
        <v>11323</v>
      </c>
    </row>
    <row r="6925" spans="1:2" ht="15">
      <c r="A6925" s="113" t="s">
        <v>11230</v>
      </c>
      <c r="B6925" s="112" t="s">
        <v>11323</v>
      </c>
    </row>
    <row r="6926" spans="1:2" ht="15">
      <c r="A6926" s="113" t="s">
        <v>11231</v>
      </c>
      <c r="B6926" s="112" t="s">
        <v>11323</v>
      </c>
    </row>
    <row r="6927" spans="1:2" ht="15">
      <c r="A6927" s="113" t="s">
        <v>11232</v>
      </c>
      <c r="B6927" s="112" t="s">
        <v>11323</v>
      </c>
    </row>
    <row r="6928" spans="1:2" ht="15">
      <c r="A6928" s="113" t="s">
        <v>11233</v>
      </c>
      <c r="B6928" s="112" t="s">
        <v>11323</v>
      </c>
    </row>
    <row r="6929" spans="1:2" ht="15">
      <c r="A6929" s="113" t="s">
        <v>11234</v>
      </c>
      <c r="B6929" s="112" t="s">
        <v>11323</v>
      </c>
    </row>
    <row r="6930" spans="1:2" ht="15">
      <c r="A6930" s="113" t="s">
        <v>11235</v>
      </c>
      <c r="B6930" s="112" t="s">
        <v>11323</v>
      </c>
    </row>
    <row r="6931" spans="1:2" ht="15">
      <c r="A6931" s="113" t="s">
        <v>11236</v>
      </c>
      <c r="B6931" s="112" t="s">
        <v>11323</v>
      </c>
    </row>
    <row r="6932" spans="1:2" ht="15">
      <c r="A6932" s="113" t="s">
        <v>11237</v>
      </c>
      <c r="B6932" s="112" t="s">
        <v>11323</v>
      </c>
    </row>
    <row r="6933" spans="1:2" ht="15">
      <c r="A6933" s="113" t="s">
        <v>11238</v>
      </c>
      <c r="B6933" s="112" t="s">
        <v>11323</v>
      </c>
    </row>
    <row r="6934" spans="1:2" ht="15">
      <c r="A6934" s="113" t="s">
        <v>11239</v>
      </c>
      <c r="B6934" s="112" t="s">
        <v>11323</v>
      </c>
    </row>
    <row r="6935" spans="1:2" ht="15">
      <c r="A6935" s="113" t="s">
        <v>11240</v>
      </c>
      <c r="B6935" s="112" t="s">
        <v>11323</v>
      </c>
    </row>
    <row r="6936" spans="1:2" ht="15">
      <c r="A6936" s="113" t="s">
        <v>11241</v>
      </c>
      <c r="B6936" s="112" t="s">
        <v>11323</v>
      </c>
    </row>
    <row r="6937" spans="1:2" ht="15">
      <c r="A6937" s="113" t="s">
        <v>11242</v>
      </c>
      <c r="B6937" s="112" t="s">
        <v>11323</v>
      </c>
    </row>
    <row r="6938" spans="1:2" ht="15">
      <c r="A6938" s="113" t="s">
        <v>11243</v>
      </c>
      <c r="B6938" s="112" t="s">
        <v>11323</v>
      </c>
    </row>
    <row r="6939" spans="1:2" ht="15">
      <c r="A6939" s="113" t="s">
        <v>11244</v>
      </c>
      <c r="B6939" s="112" t="s">
        <v>11323</v>
      </c>
    </row>
    <row r="6940" spans="1:2" ht="15">
      <c r="A6940" s="113" t="s">
        <v>11245</v>
      </c>
      <c r="B6940" s="112" t="s">
        <v>11323</v>
      </c>
    </row>
    <row r="6941" spans="1:2" ht="15">
      <c r="A6941" s="113" t="s">
        <v>11246</v>
      </c>
      <c r="B6941" s="112" t="s">
        <v>11323</v>
      </c>
    </row>
    <row r="6942" spans="1:2" ht="15">
      <c r="A6942" s="113" t="s">
        <v>11247</v>
      </c>
      <c r="B6942" s="112" t="s">
        <v>11323</v>
      </c>
    </row>
    <row r="6943" spans="1:2" ht="15">
      <c r="A6943" s="113" t="s">
        <v>11248</v>
      </c>
      <c r="B6943" s="112" t="s">
        <v>11323</v>
      </c>
    </row>
    <row r="6944" spans="1:2" ht="15">
      <c r="A6944" s="113" t="s">
        <v>11249</v>
      </c>
      <c r="B6944" s="112" t="s">
        <v>11323</v>
      </c>
    </row>
    <row r="6945" spans="1:2" ht="15">
      <c r="A6945" s="113" t="s">
        <v>11250</v>
      </c>
      <c r="B6945" s="112" t="s">
        <v>11323</v>
      </c>
    </row>
    <row r="6946" spans="1:2" ht="15">
      <c r="A6946" s="113" t="s">
        <v>11251</v>
      </c>
      <c r="B6946" s="112" t="s">
        <v>11323</v>
      </c>
    </row>
    <row r="6947" spans="1:2" ht="15">
      <c r="A6947" s="113" t="s">
        <v>11252</v>
      </c>
      <c r="B6947" s="112" t="s">
        <v>11323</v>
      </c>
    </row>
    <row r="6948" spans="1:2" ht="15">
      <c r="A6948" s="113" t="s">
        <v>11253</v>
      </c>
      <c r="B6948" s="112" t="s">
        <v>11323</v>
      </c>
    </row>
    <row r="6949" spans="1:2" ht="15">
      <c r="A6949" s="113" t="s">
        <v>11254</v>
      </c>
      <c r="B6949" s="112" t="s">
        <v>11323</v>
      </c>
    </row>
    <row r="6950" spans="1:2" ht="15">
      <c r="A6950" s="113" t="s">
        <v>11255</v>
      </c>
      <c r="B6950" s="112" t="s">
        <v>11323</v>
      </c>
    </row>
    <row r="6951" spans="1:2" ht="15">
      <c r="A6951" s="113" t="s">
        <v>11256</v>
      </c>
      <c r="B6951" s="112" t="s">
        <v>11323</v>
      </c>
    </row>
    <row r="6952" spans="1:2" ht="15">
      <c r="A6952" s="113" t="s">
        <v>11257</v>
      </c>
      <c r="B6952" s="112" t="s">
        <v>11323</v>
      </c>
    </row>
    <row r="6953" spans="1:2" ht="15">
      <c r="A6953" s="113" t="s">
        <v>11258</v>
      </c>
      <c r="B6953" s="112" t="s">
        <v>11323</v>
      </c>
    </row>
    <row r="6954" spans="1:2" ht="15">
      <c r="A6954" s="113" t="s">
        <v>11259</v>
      </c>
      <c r="B6954" s="112" t="s">
        <v>11323</v>
      </c>
    </row>
    <row r="6955" spans="1:2" ht="15">
      <c r="A6955" s="113" t="s">
        <v>11260</v>
      </c>
      <c r="B6955" s="112" t="s">
        <v>11323</v>
      </c>
    </row>
    <row r="6956" spans="1:2" ht="15">
      <c r="A6956" s="113" t="s">
        <v>11261</v>
      </c>
      <c r="B6956" s="112" t="s">
        <v>11323</v>
      </c>
    </row>
    <row r="6957" spans="1:2" ht="15">
      <c r="A6957" s="113" t="s">
        <v>11262</v>
      </c>
      <c r="B6957" s="112" t="s">
        <v>11323</v>
      </c>
    </row>
    <row r="6958" spans="1:2" ht="15">
      <c r="A6958" s="113" t="s">
        <v>11263</v>
      </c>
      <c r="B6958" s="112" t="s">
        <v>11323</v>
      </c>
    </row>
    <row r="6959" spans="1:2" ht="15">
      <c r="A6959" s="113" t="s">
        <v>11264</v>
      </c>
      <c r="B6959" s="112" t="s">
        <v>11323</v>
      </c>
    </row>
    <row r="6960" spans="1:2" ht="15">
      <c r="A6960" s="113" t="s">
        <v>11265</v>
      </c>
      <c r="B6960" s="112" t="s">
        <v>11323</v>
      </c>
    </row>
    <row r="6961" spans="1:2" ht="15">
      <c r="A6961" s="113" t="s">
        <v>11266</v>
      </c>
      <c r="B6961" s="112" t="s">
        <v>11323</v>
      </c>
    </row>
    <row r="6962" spans="1:2" ht="15">
      <c r="A6962" s="113" t="s">
        <v>11267</v>
      </c>
      <c r="B6962" s="112" t="s">
        <v>11323</v>
      </c>
    </row>
    <row r="6963" spans="1:2" ht="15">
      <c r="A6963" s="113" t="s">
        <v>11268</v>
      </c>
      <c r="B6963" s="112" t="s">
        <v>11323</v>
      </c>
    </row>
    <row r="6964" spans="1:2" ht="15">
      <c r="A6964" s="113" t="s">
        <v>11269</v>
      </c>
      <c r="B6964" s="112" t="s">
        <v>11323</v>
      </c>
    </row>
    <row r="6965" spans="1:2" ht="15">
      <c r="A6965" s="113" t="s">
        <v>11270</v>
      </c>
      <c r="B6965" s="112" t="s">
        <v>11323</v>
      </c>
    </row>
    <row r="6966" spans="1:2" ht="15">
      <c r="A6966" s="113" t="s">
        <v>11271</v>
      </c>
      <c r="B6966" s="112" t="s">
        <v>11323</v>
      </c>
    </row>
    <row r="6967" spans="1:2" ht="15">
      <c r="A6967" s="113" t="s">
        <v>11272</v>
      </c>
      <c r="B6967" s="112" t="s">
        <v>11323</v>
      </c>
    </row>
    <row r="6968" spans="1:2" ht="15">
      <c r="A6968" s="113" t="s">
        <v>11273</v>
      </c>
      <c r="B6968" s="112" t="s">
        <v>11323</v>
      </c>
    </row>
    <row r="6969" spans="1:2" ht="15">
      <c r="A6969" s="113" t="s">
        <v>11274</v>
      </c>
      <c r="B6969" s="112" t="s">
        <v>11323</v>
      </c>
    </row>
    <row r="6970" spans="1:2" ht="15">
      <c r="A6970" s="113" t="s">
        <v>11275</v>
      </c>
      <c r="B6970" s="112" t="s">
        <v>11323</v>
      </c>
    </row>
    <row r="6971" spans="1:2" ht="15">
      <c r="A6971" s="113" t="s">
        <v>11276</v>
      </c>
      <c r="B6971" s="112" t="s">
        <v>11323</v>
      </c>
    </row>
    <row r="6972" spans="1:2" ht="15">
      <c r="A6972" s="113" t="s">
        <v>11277</v>
      </c>
      <c r="B6972" s="112" t="s">
        <v>11323</v>
      </c>
    </row>
    <row r="6973" spans="1:2" ht="15">
      <c r="A6973" s="113" t="s">
        <v>11278</v>
      </c>
      <c r="B6973" s="112" t="s">
        <v>11323</v>
      </c>
    </row>
    <row r="6974" spans="1:2" ht="15">
      <c r="A6974" s="113" t="s">
        <v>11279</v>
      </c>
      <c r="B6974" s="112" t="s">
        <v>11323</v>
      </c>
    </row>
    <row r="6975" spans="1:2" ht="15">
      <c r="A6975" s="113" t="s">
        <v>11280</v>
      </c>
      <c r="B6975" s="112" t="s">
        <v>11323</v>
      </c>
    </row>
    <row r="6976" spans="1:2" ht="15">
      <c r="A6976" s="113" t="s">
        <v>11281</v>
      </c>
      <c r="B6976" s="112" t="s">
        <v>11323</v>
      </c>
    </row>
    <row r="6977" spans="1:2" ht="15">
      <c r="A6977" s="113" t="s">
        <v>11282</v>
      </c>
      <c r="B6977" s="112" t="s">
        <v>11323</v>
      </c>
    </row>
    <row r="6978" spans="1:2" ht="15">
      <c r="A6978" s="113" t="s">
        <v>11283</v>
      </c>
      <c r="B6978" s="112" t="s">
        <v>11323</v>
      </c>
    </row>
    <row r="6979" spans="1:2" ht="15">
      <c r="A6979" s="113" t="s">
        <v>11284</v>
      </c>
      <c r="B6979" s="112" t="s">
        <v>11323</v>
      </c>
    </row>
    <row r="6980" spans="1:2" ht="15">
      <c r="A6980" s="113" t="s">
        <v>11285</v>
      </c>
      <c r="B6980" s="112" t="s">
        <v>11323</v>
      </c>
    </row>
    <row r="6981" spans="1:2" ht="15">
      <c r="A6981" s="113" t="s">
        <v>11286</v>
      </c>
      <c r="B6981" s="112" t="s">
        <v>11323</v>
      </c>
    </row>
    <row r="6982" spans="1:2" ht="15">
      <c r="A6982" s="113" t="s">
        <v>11287</v>
      </c>
      <c r="B6982" s="112" t="s">
        <v>11323</v>
      </c>
    </row>
    <row r="6983" spans="1:2" ht="15">
      <c r="A6983" s="113" t="s">
        <v>11288</v>
      </c>
      <c r="B6983" s="112" t="s">
        <v>11323</v>
      </c>
    </row>
    <row r="6984" spans="1:2" ht="15">
      <c r="A6984" s="113" t="s">
        <v>11289</v>
      </c>
      <c r="B6984" s="112" t="s">
        <v>11323</v>
      </c>
    </row>
    <row r="6985" spans="1:2" ht="15">
      <c r="A6985" s="113" t="s">
        <v>11290</v>
      </c>
      <c r="B6985" s="112" t="s">
        <v>11323</v>
      </c>
    </row>
    <row r="6986" spans="1:2" ht="15">
      <c r="A6986" s="113" t="s">
        <v>11291</v>
      </c>
      <c r="B6986" s="112" t="s">
        <v>11323</v>
      </c>
    </row>
    <row r="6987" spans="1:2" ht="15">
      <c r="A6987" s="113" t="s">
        <v>11292</v>
      </c>
      <c r="B6987" s="112" t="s">
        <v>11323</v>
      </c>
    </row>
    <row r="6988" spans="1:2" ht="15">
      <c r="A6988" s="113" t="s">
        <v>11293</v>
      </c>
      <c r="B6988" s="112" t="s">
        <v>11323</v>
      </c>
    </row>
    <row r="6989" spans="1:2" ht="15">
      <c r="A6989" s="113" t="s">
        <v>11294</v>
      </c>
      <c r="B6989" s="112" t="s">
        <v>11323</v>
      </c>
    </row>
    <row r="6990" spans="1:2" ht="15">
      <c r="A6990" s="113" t="s">
        <v>11295</v>
      </c>
      <c r="B6990" s="112" t="s">
        <v>11323</v>
      </c>
    </row>
    <row r="6991" spans="1:2" ht="15">
      <c r="A6991" s="113" t="s">
        <v>11296</v>
      </c>
      <c r="B6991" s="112" t="s">
        <v>11323</v>
      </c>
    </row>
    <row r="6992" spans="1:2" ht="15">
      <c r="A6992" s="113" t="s">
        <v>11297</v>
      </c>
      <c r="B6992" s="112" t="s">
        <v>11323</v>
      </c>
    </row>
    <row r="6993" spans="1:2" ht="15">
      <c r="A6993" s="113" t="s">
        <v>11298</v>
      </c>
      <c r="B6993" s="112" t="s">
        <v>11323</v>
      </c>
    </row>
    <row r="6994" spans="1:2" ht="15">
      <c r="A6994" s="113" t="s">
        <v>11299</v>
      </c>
      <c r="B6994" s="112" t="s">
        <v>11323</v>
      </c>
    </row>
    <row r="6995" spans="1:2" ht="15">
      <c r="A6995" s="113" t="s">
        <v>11300</v>
      </c>
      <c r="B6995" s="112" t="s">
        <v>11323</v>
      </c>
    </row>
    <row r="6996" spans="1:2" ht="15">
      <c r="A6996" s="113" t="s">
        <v>11301</v>
      </c>
      <c r="B6996" s="112" t="s">
        <v>11323</v>
      </c>
    </row>
    <row r="6997" spans="1:2" ht="15">
      <c r="A6997" s="113" t="s">
        <v>11302</v>
      </c>
      <c r="B6997" s="112" t="s">
        <v>11323</v>
      </c>
    </row>
    <row r="6998" spans="1:2" ht="15">
      <c r="A6998" s="113" t="s">
        <v>11303</v>
      </c>
      <c r="B6998" s="112" t="s">
        <v>11323</v>
      </c>
    </row>
    <row r="6999" spans="1:2" ht="15">
      <c r="A6999" s="113" t="s">
        <v>11304</v>
      </c>
      <c r="B6999" s="112" t="s">
        <v>11323</v>
      </c>
    </row>
    <row r="7000" spans="1:2" ht="15">
      <c r="A7000" s="113" t="s">
        <v>11305</v>
      </c>
      <c r="B7000" s="112" t="s">
        <v>11323</v>
      </c>
    </row>
    <row r="7001" spans="1:2" ht="15">
      <c r="A7001" s="113" t="s">
        <v>11306</v>
      </c>
      <c r="B7001" s="112" t="s">
        <v>11323</v>
      </c>
    </row>
    <row r="7002" spans="1:2" ht="15">
      <c r="A7002" s="113" t="s">
        <v>11307</v>
      </c>
      <c r="B7002" s="112" t="s">
        <v>11323</v>
      </c>
    </row>
    <row r="7003" spans="1:2" ht="15">
      <c r="A7003" s="113" t="s">
        <v>11308</v>
      </c>
      <c r="B7003" s="112" t="s">
        <v>11323</v>
      </c>
    </row>
    <row r="7004" spans="1:2" ht="15">
      <c r="A7004" s="113" t="s">
        <v>11309</v>
      </c>
      <c r="B7004" s="112" t="s">
        <v>11323</v>
      </c>
    </row>
    <row r="7005" spans="1:2" ht="15">
      <c r="A7005" s="113" t="s">
        <v>11310</v>
      </c>
      <c r="B7005" s="112" t="s">
        <v>11323</v>
      </c>
    </row>
    <row r="7006" spans="1:2" ht="15">
      <c r="A7006" s="113" t="s">
        <v>11311</v>
      </c>
      <c r="B7006" s="112" t="s">
        <v>11323</v>
      </c>
    </row>
    <row r="7007" spans="1:2" ht="15">
      <c r="A7007" s="113" t="s">
        <v>11312</v>
      </c>
      <c r="B7007" s="112" t="s">
        <v>11323</v>
      </c>
    </row>
    <row r="7008" spans="1:2" ht="15">
      <c r="A7008" s="113" t="s">
        <v>11313</v>
      </c>
      <c r="B7008" s="112" t="s">
        <v>11323</v>
      </c>
    </row>
    <row r="7009" spans="1:2" ht="15">
      <c r="A7009" s="113" t="s">
        <v>11314</v>
      </c>
      <c r="B7009" s="112" t="s">
        <v>11323</v>
      </c>
    </row>
    <row r="7010" spans="1:2" ht="15">
      <c r="A7010" s="113" t="s">
        <v>11315</v>
      </c>
      <c r="B7010" s="112" t="s">
        <v>11323</v>
      </c>
    </row>
    <row r="7011" spans="1:2" ht="15">
      <c r="A7011" s="113" t="s">
        <v>11316</v>
      </c>
      <c r="B7011" s="112" t="s">
        <v>11323</v>
      </c>
    </row>
    <row r="7012" spans="1:2" ht="15">
      <c r="A7012" s="113" t="s">
        <v>11317</v>
      </c>
      <c r="B7012" s="112" t="s">
        <v>11323</v>
      </c>
    </row>
    <row r="7013" spans="1:2" ht="15">
      <c r="A7013" s="113" t="s">
        <v>11318</v>
      </c>
      <c r="B7013" s="112" t="s">
        <v>11323</v>
      </c>
    </row>
    <row r="7014" spans="1:2" ht="15">
      <c r="A7014" s="113" t="s">
        <v>11319</v>
      </c>
      <c r="B7014" s="112" t="s">
        <v>11323</v>
      </c>
    </row>
    <row r="7015" spans="1:2" ht="15">
      <c r="A7015" s="113" t="s">
        <v>2663</v>
      </c>
      <c r="B7015" s="112" t="s">
        <v>11323</v>
      </c>
    </row>
    <row r="7016" spans="1:2" ht="15">
      <c r="A7016" s="113" t="s">
        <v>2689</v>
      </c>
      <c r="B7016" s="112" t="s">
        <v>11323</v>
      </c>
    </row>
    <row r="7017" spans="1:2" ht="15">
      <c r="A7017" s="113" t="s">
        <v>2702</v>
      </c>
      <c r="B7017" s="112" t="s">
        <v>11323</v>
      </c>
    </row>
    <row r="7018" spans="1:2" ht="15">
      <c r="A7018" s="113" t="s">
        <v>2750</v>
      </c>
      <c r="B7018" s="112" t="s">
        <v>11323</v>
      </c>
    </row>
    <row r="7019" spans="1:2" ht="15">
      <c r="A7019" s="113" t="s">
        <v>2759</v>
      </c>
      <c r="B7019" s="112" t="s">
        <v>11323</v>
      </c>
    </row>
    <row r="7020" spans="1:2" ht="15">
      <c r="A7020" s="113" t="s">
        <v>2775</v>
      </c>
      <c r="B7020" s="112" t="s">
        <v>11323</v>
      </c>
    </row>
    <row r="7021" spans="1:2" ht="15">
      <c r="A7021" s="113" t="s">
        <v>2783</v>
      </c>
      <c r="B7021" s="112" t="s">
        <v>11323</v>
      </c>
    </row>
    <row r="7022" spans="1:2" ht="15">
      <c r="A7022" s="113" t="s">
        <v>2790</v>
      </c>
      <c r="B7022" s="112" t="s">
        <v>11323</v>
      </c>
    </row>
    <row r="7023" spans="1:2" ht="15">
      <c r="A7023" s="113" t="s">
        <v>2791</v>
      </c>
      <c r="B7023" s="112" t="s">
        <v>11323</v>
      </c>
    </row>
    <row r="7024" spans="1:2" ht="15">
      <c r="A7024" s="113" t="s">
        <v>2795</v>
      </c>
      <c r="B7024" s="112" t="s">
        <v>11323</v>
      </c>
    </row>
    <row r="7025" spans="1:2" ht="15">
      <c r="A7025" s="113" t="s">
        <v>2796</v>
      </c>
      <c r="B7025" s="112" t="s">
        <v>11323</v>
      </c>
    </row>
    <row r="7026" spans="1:2" ht="15">
      <c r="A7026" s="113" t="s">
        <v>2846</v>
      </c>
      <c r="B7026" s="112" t="s">
        <v>11323</v>
      </c>
    </row>
    <row r="7027" spans="1:2" ht="15">
      <c r="A7027" s="113" t="s">
        <v>2868</v>
      </c>
      <c r="B7027" s="112" t="s">
        <v>11323</v>
      </c>
    </row>
    <row r="7028" spans="1:2" ht="15">
      <c r="A7028" s="113" t="s">
        <v>2880</v>
      </c>
      <c r="B7028" s="112" t="s">
        <v>11323</v>
      </c>
    </row>
    <row r="7029" spans="1:2" ht="15">
      <c r="A7029" s="113" t="s">
        <v>2887</v>
      </c>
      <c r="B7029" s="112" t="s">
        <v>11323</v>
      </c>
    </row>
    <row r="7030" spans="1:2" ht="15">
      <c r="A7030" s="113" t="s">
        <v>2794</v>
      </c>
      <c r="B7030" s="112" t="s">
        <v>11323</v>
      </c>
    </row>
    <row r="7031" spans="1:2" ht="15">
      <c r="A7031" s="113" t="s">
        <v>2898</v>
      </c>
      <c r="B7031" s="112" t="s">
        <v>11323</v>
      </c>
    </row>
    <row r="7032" spans="1:2" ht="15">
      <c r="A7032" s="113" t="s">
        <v>2809</v>
      </c>
      <c r="B7032" s="112" t="s">
        <v>11323</v>
      </c>
    </row>
    <row r="7033" spans="1:2" ht="15">
      <c r="A7033" s="113" t="s">
        <v>2917</v>
      </c>
      <c r="B7033" s="112" t="s">
        <v>11323</v>
      </c>
    </row>
    <row r="7034" spans="1:2" ht="15">
      <c r="A7034" s="113" t="s">
        <v>2922</v>
      </c>
      <c r="B7034" s="112" t="s">
        <v>11323</v>
      </c>
    </row>
    <row r="7035" spans="1:2" ht="15">
      <c r="A7035" s="113" t="s">
        <v>2924</v>
      </c>
      <c r="B7035" s="112" t="s">
        <v>11323</v>
      </c>
    </row>
    <row r="7036" spans="1:2" ht="15">
      <c r="A7036" s="113" t="s">
        <v>2828</v>
      </c>
      <c r="B7036" s="112" t="s">
        <v>11323</v>
      </c>
    </row>
    <row r="7037" spans="1:2" ht="15">
      <c r="A7037" s="113" t="s">
        <v>2964</v>
      </c>
      <c r="B7037" s="112" t="s">
        <v>11323</v>
      </c>
    </row>
    <row r="7038" spans="1:2" ht="15">
      <c r="A7038" s="113" t="s">
        <v>2979</v>
      </c>
      <c r="B7038" s="112" t="s">
        <v>11323</v>
      </c>
    </row>
    <row r="7039" spans="1:2" ht="15">
      <c r="A7039" s="113" t="s">
        <v>2982</v>
      </c>
      <c r="B7039" s="112" t="s">
        <v>11323</v>
      </c>
    </row>
    <row r="7040" spans="1:2" ht="15">
      <c r="A7040" s="113" t="s">
        <v>2984</v>
      </c>
      <c r="B7040" s="112" t="s">
        <v>11323</v>
      </c>
    </row>
    <row r="7041" spans="1:2" ht="15">
      <c r="A7041" s="113" t="s">
        <v>2772</v>
      </c>
      <c r="B7041" s="112" t="s">
        <v>11323</v>
      </c>
    </row>
    <row r="7042" spans="1:2" ht="15">
      <c r="A7042" s="113" t="s">
        <v>3006</v>
      </c>
      <c r="B7042" s="112" t="s">
        <v>11323</v>
      </c>
    </row>
    <row r="7043" spans="1:2" ht="15">
      <c r="A7043" s="113" t="s">
        <v>3014</v>
      </c>
      <c r="B7043" s="112" t="s">
        <v>11323</v>
      </c>
    </row>
    <row r="7044" spans="1:2" ht="15">
      <c r="A7044" s="113" t="s">
        <v>3027</v>
      </c>
      <c r="B7044" s="112" t="s">
        <v>11323</v>
      </c>
    </row>
  </sheetData>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2F80-2644-45D3-AA2E-CC0391FA9F70}">
  <dimension ref="A1:V50"/>
  <sheetViews>
    <sheetView tabSelected="1" workbookViewId="0" topLeftCell="AH1">
      <selection activeCell="K4" sqref="K4"/>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2347</v>
      </c>
      <c r="B1" s="7" t="s">
        <v>2358</v>
      </c>
      <c r="C1" s="112" t="s">
        <v>3232</v>
      </c>
      <c r="D1" s="112" t="s">
        <v>3234</v>
      </c>
      <c r="E1" s="112" t="s">
        <v>3233</v>
      </c>
      <c r="F1" s="112" t="s">
        <v>3239</v>
      </c>
      <c r="G1" s="7" t="s">
        <v>3238</v>
      </c>
      <c r="H1" s="7" t="s">
        <v>3241</v>
      </c>
      <c r="I1" s="112" t="s">
        <v>3240</v>
      </c>
      <c r="J1" s="112" t="s">
        <v>3244</v>
      </c>
      <c r="K1" s="7" t="s">
        <v>3243</v>
      </c>
      <c r="L1" s="7" t="s">
        <v>3247</v>
      </c>
      <c r="M1" s="7" t="s">
        <v>3246</v>
      </c>
      <c r="N1" s="7" t="s">
        <v>3249</v>
      </c>
      <c r="O1" s="112" t="s">
        <v>3248</v>
      </c>
      <c r="P1" s="112" t="s">
        <v>3251</v>
      </c>
      <c r="Q1" s="7" t="s">
        <v>3250</v>
      </c>
      <c r="R1" s="7" t="s">
        <v>3253</v>
      </c>
      <c r="S1" s="112" t="s">
        <v>3252</v>
      </c>
      <c r="T1" s="112" t="s">
        <v>3256</v>
      </c>
      <c r="U1" s="112" t="s">
        <v>3255</v>
      </c>
      <c r="V1" s="112" t="s">
        <v>3257</v>
      </c>
    </row>
    <row r="2" spans="1:22" ht="15">
      <c r="A2" s="76" t="s">
        <v>2348</v>
      </c>
      <c r="B2" s="112">
        <v>2</v>
      </c>
      <c r="C2" s="112"/>
      <c r="D2" s="112"/>
      <c r="E2" s="112"/>
      <c r="F2" s="112"/>
      <c r="G2" s="76" t="s">
        <v>2348</v>
      </c>
      <c r="H2" s="112">
        <v>2</v>
      </c>
      <c r="I2" s="112"/>
      <c r="J2" s="112"/>
      <c r="K2" s="76" t="s">
        <v>2349</v>
      </c>
      <c r="L2" s="112">
        <v>1</v>
      </c>
      <c r="M2" s="76" t="s">
        <v>2404</v>
      </c>
      <c r="N2" s="112">
        <v>1</v>
      </c>
      <c r="O2" s="112"/>
      <c r="P2" s="112"/>
      <c r="Q2" s="76" t="s">
        <v>2405</v>
      </c>
      <c r="R2" s="112">
        <v>1</v>
      </c>
      <c r="S2" s="112"/>
      <c r="T2" s="112"/>
      <c r="U2" s="112"/>
      <c r="V2" s="112"/>
    </row>
    <row r="3" spans="1:22" ht="15">
      <c r="A3" s="75" t="s">
        <v>2349</v>
      </c>
      <c r="B3" s="112">
        <v>1</v>
      </c>
      <c r="C3" s="112"/>
      <c r="D3" s="112"/>
      <c r="E3" s="112"/>
      <c r="F3" s="112"/>
      <c r="G3" s="76" t="s">
        <v>2403</v>
      </c>
      <c r="H3" s="112">
        <v>1</v>
      </c>
      <c r="I3" s="112"/>
      <c r="J3" s="112"/>
      <c r="K3" s="76" t="s">
        <v>2350</v>
      </c>
      <c r="L3" s="112">
        <v>1</v>
      </c>
      <c r="M3" s="76" t="s">
        <v>2409</v>
      </c>
      <c r="N3" s="112">
        <v>1</v>
      </c>
      <c r="O3" s="112"/>
      <c r="P3" s="112"/>
      <c r="Q3" s="112"/>
      <c r="R3" s="112"/>
      <c r="S3" s="112"/>
      <c r="T3" s="112"/>
      <c r="U3" s="112"/>
      <c r="V3" s="112"/>
    </row>
    <row r="4" spans="1:22" ht="15">
      <c r="A4" s="75" t="s">
        <v>2350</v>
      </c>
      <c r="B4" s="112">
        <v>1</v>
      </c>
      <c r="C4" s="112"/>
      <c r="D4" s="112"/>
      <c r="E4" s="112"/>
      <c r="F4" s="112"/>
      <c r="G4" s="76" t="s">
        <v>2408</v>
      </c>
      <c r="H4" s="112">
        <v>1</v>
      </c>
      <c r="I4" s="112"/>
      <c r="J4" s="112"/>
      <c r="K4" s="76" t="s">
        <v>3235</v>
      </c>
      <c r="L4" s="112">
        <v>1</v>
      </c>
      <c r="M4" s="76" t="s">
        <v>3245</v>
      </c>
      <c r="N4" s="112">
        <v>1</v>
      </c>
      <c r="O4" s="112"/>
      <c r="P4" s="112"/>
      <c r="Q4" s="112"/>
      <c r="R4" s="112"/>
      <c r="S4" s="112"/>
      <c r="T4" s="112"/>
      <c r="U4" s="112"/>
      <c r="V4" s="112"/>
    </row>
    <row r="5" spans="1:22" ht="15">
      <c r="A5" s="75" t="s">
        <v>2351</v>
      </c>
      <c r="B5" s="112">
        <v>1</v>
      </c>
      <c r="C5" s="112"/>
      <c r="D5" s="112"/>
      <c r="E5" s="112"/>
      <c r="F5" s="112"/>
      <c r="G5" s="76" t="s">
        <v>2353</v>
      </c>
      <c r="H5" s="112">
        <v>1</v>
      </c>
      <c r="I5" s="112"/>
      <c r="J5" s="112"/>
      <c r="K5" s="76" t="s">
        <v>3236</v>
      </c>
      <c r="L5" s="112">
        <v>1</v>
      </c>
      <c r="M5" s="112"/>
      <c r="N5" s="112"/>
      <c r="O5" s="112"/>
      <c r="P5" s="112"/>
      <c r="Q5" s="112"/>
      <c r="R5" s="112"/>
      <c r="S5" s="112"/>
      <c r="T5" s="112"/>
      <c r="U5" s="112"/>
      <c r="V5" s="112"/>
    </row>
    <row r="6" spans="1:22" ht="15">
      <c r="A6" s="75" t="s">
        <v>2352</v>
      </c>
      <c r="B6" s="112">
        <v>1</v>
      </c>
      <c r="C6" s="112"/>
      <c r="D6" s="112"/>
      <c r="E6" s="112"/>
      <c r="F6" s="112"/>
      <c r="G6" s="112"/>
      <c r="H6" s="112"/>
      <c r="I6" s="112"/>
      <c r="J6" s="112"/>
      <c r="K6" s="112"/>
      <c r="L6" s="112"/>
      <c r="M6" s="112"/>
      <c r="N6" s="112"/>
      <c r="O6" s="112"/>
      <c r="P6" s="112"/>
      <c r="Q6" s="112"/>
      <c r="R6" s="112"/>
      <c r="S6" s="112"/>
      <c r="T6" s="112"/>
      <c r="U6" s="112"/>
      <c r="V6" s="112"/>
    </row>
    <row r="7" spans="1:22" ht="15">
      <c r="A7" s="75" t="s">
        <v>2353</v>
      </c>
      <c r="B7" s="112">
        <v>1</v>
      </c>
      <c r="C7" s="112"/>
      <c r="D7" s="112"/>
      <c r="E7" s="112"/>
      <c r="F7" s="112"/>
      <c r="G7" s="112"/>
      <c r="H7" s="112"/>
      <c r="I7" s="112"/>
      <c r="J7" s="112"/>
      <c r="K7" s="112"/>
      <c r="L7" s="112"/>
      <c r="M7" s="112"/>
      <c r="N7" s="112"/>
      <c r="O7" s="112"/>
      <c r="P7" s="112"/>
      <c r="Q7" s="112"/>
      <c r="R7" s="112"/>
      <c r="S7" s="112"/>
      <c r="T7" s="112"/>
      <c r="U7" s="112"/>
      <c r="V7" s="112"/>
    </row>
    <row r="8" spans="1:22" ht="15">
      <c r="A8" s="75" t="s">
        <v>2354</v>
      </c>
      <c r="B8" s="112">
        <v>1</v>
      </c>
      <c r="C8" s="112"/>
      <c r="D8" s="112"/>
      <c r="E8" s="112"/>
      <c r="F8" s="112"/>
      <c r="G8" s="112"/>
      <c r="H8" s="112"/>
      <c r="I8" s="112"/>
      <c r="J8" s="112"/>
      <c r="K8" s="112"/>
      <c r="L8" s="112"/>
      <c r="M8" s="112"/>
      <c r="N8" s="112"/>
      <c r="O8" s="112"/>
      <c r="P8" s="112"/>
      <c r="Q8" s="112"/>
      <c r="R8" s="112"/>
      <c r="S8" s="112"/>
      <c r="T8" s="112"/>
      <c r="U8" s="112"/>
      <c r="V8" s="112"/>
    </row>
    <row r="9" spans="1:22" ht="15">
      <c r="A9" s="75" t="s">
        <v>2355</v>
      </c>
      <c r="B9" s="112">
        <v>1</v>
      </c>
      <c r="C9" s="112"/>
      <c r="D9" s="112"/>
      <c r="E9" s="112"/>
      <c r="F9" s="112"/>
      <c r="G9" s="112"/>
      <c r="H9" s="112"/>
      <c r="I9" s="112"/>
      <c r="J9" s="112"/>
      <c r="K9" s="112"/>
      <c r="L9" s="112"/>
      <c r="M9" s="112"/>
      <c r="N9" s="112"/>
      <c r="O9" s="112"/>
      <c r="P9" s="112"/>
      <c r="Q9" s="112"/>
      <c r="R9" s="112"/>
      <c r="S9" s="112"/>
      <c r="T9" s="112"/>
      <c r="U9" s="112"/>
      <c r="V9" s="112"/>
    </row>
    <row r="10" spans="1:22" ht="15">
      <c r="A10" s="75" t="s">
        <v>2356</v>
      </c>
      <c r="B10" s="112">
        <v>1</v>
      </c>
      <c r="C10" s="112"/>
      <c r="D10" s="112"/>
      <c r="E10" s="112"/>
      <c r="F10" s="112"/>
      <c r="G10" s="112"/>
      <c r="H10" s="112"/>
      <c r="I10" s="112"/>
      <c r="J10" s="112"/>
      <c r="K10" s="112"/>
      <c r="L10" s="112"/>
      <c r="M10" s="112"/>
      <c r="N10" s="112"/>
      <c r="O10" s="112"/>
      <c r="P10" s="112"/>
      <c r="Q10" s="112"/>
      <c r="R10" s="112"/>
      <c r="S10" s="112"/>
      <c r="T10" s="112"/>
      <c r="U10" s="112"/>
      <c r="V10" s="112"/>
    </row>
    <row r="11" spans="1:22" ht="15">
      <c r="A11" s="75" t="s">
        <v>2357</v>
      </c>
      <c r="B11" s="112">
        <v>1</v>
      </c>
      <c r="C11" s="112"/>
      <c r="D11" s="112"/>
      <c r="E11" s="112"/>
      <c r="F11" s="112"/>
      <c r="G11" s="112"/>
      <c r="H11" s="112"/>
      <c r="I11" s="112"/>
      <c r="J11" s="112"/>
      <c r="K11" s="112"/>
      <c r="L11" s="112"/>
      <c r="M11" s="112"/>
      <c r="N11" s="112"/>
      <c r="O11" s="112"/>
      <c r="P11" s="112"/>
      <c r="Q11" s="112"/>
      <c r="R11" s="112"/>
      <c r="S11" s="112"/>
      <c r="T11" s="112"/>
      <c r="U11" s="112"/>
      <c r="V11" s="112"/>
    </row>
    <row r="14" spans="1:22" ht="15" customHeight="1">
      <c r="A14" s="7" t="s">
        <v>2362</v>
      </c>
      <c r="B14" s="7" t="s">
        <v>2358</v>
      </c>
      <c r="C14" s="7" t="s">
        <v>3258</v>
      </c>
      <c r="D14" s="7" t="s">
        <v>3234</v>
      </c>
      <c r="E14" s="7" t="s">
        <v>3259</v>
      </c>
      <c r="F14" s="7" t="s">
        <v>3239</v>
      </c>
      <c r="G14" s="7" t="s">
        <v>3263</v>
      </c>
      <c r="H14" s="7" t="s">
        <v>3241</v>
      </c>
      <c r="I14" s="7" t="s">
        <v>3264</v>
      </c>
      <c r="J14" s="7" t="s">
        <v>3244</v>
      </c>
      <c r="K14" s="7" t="s">
        <v>3265</v>
      </c>
      <c r="L14" s="7" t="s">
        <v>3247</v>
      </c>
      <c r="M14" s="7" t="s">
        <v>3267</v>
      </c>
      <c r="N14" s="7" t="s">
        <v>3249</v>
      </c>
      <c r="O14" s="112" t="s">
        <v>3268</v>
      </c>
      <c r="P14" s="112" t="s">
        <v>3251</v>
      </c>
      <c r="Q14" s="7" t="s">
        <v>3269</v>
      </c>
      <c r="R14" s="7" t="s">
        <v>3253</v>
      </c>
      <c r="S14" s="7" t="s">
        <v>3270</v>
      </c>
      <c r="T14" s="7" t="s">
        <v>3256</v>
      </c>
      <c r="U14" s="112" t="s">
        <v>3275</v>
      </c>
      <c r="V14" s="112" t="s">
        <v>3257</v>
      </c>
    </row>
    <row r="15" spans="1:22" ht="15">
      <c r="A15" s="112" t="s">
        <v>682</v>
      </c>
      <c r="B15" s="112">
        <v>36</v>
      </c>
      <c r="C15" s="112" t="s">
        <v>697</v>
      </c>
      <c r="D15" s="112">
        <v>1</v>
      </c>
      <c r="E15" s="112" t="s">
        <v>682</v>
      </c>
      <c r="F15" s="112">
        <v>1</v>
      </c>
      <c r="G15" s="112" t="s">
        <v>682</v>
      </c>
      <c r="H15" s="112">
        <v>5</v>
      </c>
      <c r="I15" s="112" t="s">
        <v>682</v>
      </c>
      <c r="J15" s="112">
        <v>2</v>
      </c>
      <c r="K15" s="112" t="s">
        <v>682</v>
      </c>
      <c r="L15" s="112">
        <v>7</v>
      </c>
      <c r="M15" s="112" t="s">
        <v>682</v>
      </c>
      <c r="N15" s="112">
        <v>3</v>
      </c>
      <c r="O15" s="112"/>
      <c r="P15" s="112"/>
      <c r="Q15" s="112" t="s">
        <v>681</v>
      </c>
      <c r="R15" s="112">
        <v>1</v>
      </c>
      <c r="S15" s="112" t="s">
        <v>682</v>
      </c>
      <c r="T15" s="112">
        <v>6</v>
      </c>
      <c r="U15" s="112"/>
      <c r="V15" s="112"/>
    </row>
    <row r="16" spans="1:22" ht="15">
      <c r="A16" s="113" t="s">
        <v>683</v>
      </c>
      <c r="B16" s="112">
        <v>3</v>
      </c>
      <c r="C16" s="112" t="s">
        <v>696</v>
      </c>
      <c r="D16" s="112">
        <v>1</v>
      </c>
      <c r="E16" s="112"/>
      <c r="F16" s="112"/>
      <c r="G16" s="112" t="s">
        <v>684</v>
      </c>
      <c r="H16" s="112">
        <v>1</v>
      </c>
      <c r="I16" s="112"/>
      <c r="J16" s="112"/>
      <c r="K16" s="112" t="s">
        <v>705</v>
      </c>
      <c r="L16" s="112">
        <v>2</v>
      </c>
      <c r="M16" s="112" t="s">
        <v>685</v>
      </c>
      <c r="N16" s="112">
        <v>1</v>
      </c>
      <c r="O16" s="112"/>
      <c r="P16" s="112"/>
      <c r="Q16" s="112"/>
      <c r="R16" s="112"/>
      <c r="S16" s="112" t="s">
        <v>684</v>
      </c>
      <c r="T16" s="112">
        <v>1</v>
      </c>
      <c r="U16" s="112"/>
      <c r="V16" s="112"/>
    </row>
    <row r="17" spans="1:22" ht="15">
      <c r="A17" s="113" t="s">
        <v>684</v>
      </c>
      <c r="B17" s="112">
        <v>3</v>
      </c>
      <c r="C17" s="112"/>
      <c r="D17" s="112"/>
      <c r="E17" s="112"/>
      <c r="F17" s="112"/>
      <c r="G17" s="112" t="s">
        <v>695</v>
      </c>
      <c r="H17" s="112">
        <v>1</v>
      </c>
      <c r="I17" s="112"/>
      <c r="J17" s="112"/>
      <c r="K17" s="112" t="s">
        <v>706</v>
      </c>
      <c r="L17" s="112">
        <v>1</v>
      </c>
      <c r="M17" s="112" t="s">
        <v>684</v>
      </c>
      <c r="N17" s="112">
        <v>1</v>
      </c>
      <c r="O17" s="112"/>
      <c r="P17" s="112"/>
      <c r="Q17" s="112"/>
      <c r="R17" s="112"/>
      <c r="S17" s="112"/>
      <c r="T17" s="112"/>
      <c r="U17" s="112"/>
      <c r="V17" s="112"/>
    </row>
    <row r="18" spans="1:22" ht="15">
      <c r="A18" s="113" t="s">
        <v>705</v>
      </c>
      <c r="B18" s="112">
        <v>2</v>
      </c>
      <c r="C18" s="112"/>
      <c r="D18" s="112"/>
      <c r="E18" s="112"/>
      <c r="F18" s="112"/>
      <c r="G18" s="112" t="s">
        <v>700</v>
      </c>
      <c r="H18" s="112">
        <v>1</v>
      </c>
      <c r="I18" s="112"/>
      <c r="J18" s="112"/>
      <c r="K18" s="112" t="s">
        <v>707</v>
      </c>
      <c r="L18" s="112">
        <v>1</v>
      </c>
      <c r="M18" s="112"/>
      <c r="N18" s="112"/>
      <c r="O18" s="112"/>
      <c r="P18" s="112"/>
      <c r="Q18" s="112"/>
      <c r="R18" s="112"/>
      <c r="S18" s="112"/>
      <c r="T18" s="112"/>
      <c r="U18" s="112"/>
      <c r="V18" s="112"/>
    </row>
    <row r="19" spans="1:22" ht="15">
      <c r="A19" s="113" t="s">
        <v>704</v>
      </c>
      <c r="B19" s="112">
        <v>1</v>
      </c>
      <c r="C19" s="112"/>
      <c r="D19" s="112"/>
      <c r="E19" s="112"/>
      <c r="F19" s="112"/>
      <c r="G19" s="112" t="s">
        <v>683</v>
      </c>
      <c r="H19" s="112">
        <v>1</v>
      </c>
      <c r="I19" s="112"/>
      <c r="J19" s="112"/>
      <c r="K19" s="112" t="s">
        <v>704</v>
      </c>
      <c r="L19" s="112">
        <v>1</v>
      </c>
      <c r="M19" s="112"/>
      <c r="N19" s="112"/>
      <c r="O19" s="112"/>
      <c r="P19" s="112"/>
      <c r="Q19" s="112"/>
      <c r="R19" s="112"/>
      <c r="S19" s="112"/>
      <c r="T19" s="112"/>
      <c r="U19" s="112"/>
      <c r="V19" s="112"/>
    </row>
    <row r="20" spans="1:22" ht="15">
      <c r="A20" s="113" t="s">
        <v>707</v>
      </c>
      <c r="B20" s="112">
        <v>1</v>
      </c>
      <c r="C20" s="112"/>
      <c r="D20" s="112"/>
      <c r="E20" s="112"/>
      <c r="F20" s="112"/>
      <c r="G20" s="112"/>
      <c r="H20" s="112"/>
      <c r="I20" s="112"/>
      <c r="J20" s="112"/>
      <c r="K20" s="112"/>
      <c r="L20" s="112"/>
      <c r="M20" s="112"/>
      <c r="N20" s="112"/>
      <c r="O20" s="112"/>
      <c r="P20" s="112"/>
      <c r="Q20" s="112"/>
      <c r="R20" s="112"/>
      <c r="S20" s="112"/>
      <c r="T20" s="112"/>
      <c r="U20" s="112"/>
      <c r="V20" s="112"/>
    </row>
    <row r="21" spans="1:22" ht="15">
      <c r="A21" s="113" t="s">
        <v>706</v>
      </c>
      <c r="B21" s="112">
        <v>1</v>
      </c>
      <c r="C21" s="112"/>
      <c r="D21" s="112"/>
      <c r="E21" s="112"/>
      <c r="F21" s="112"/>
      <c r="G21" s="112"/>
      <c r="H21" s="112"/>
      <c r="I21" s="112"/>
      <c r="J21" s="112"/>
      <c r="K21" s="112"/>
      <c r="L21" s="112"/>
      <c r="M21" s="112"/>
      <c r="N21" s="112"/>
      <c r="O21" s="112"/>
      <c r="P21" s="112"/>
      <c r="Q21" s="112"/>
      <c r="R21" s="112"/>
      <c r="S21" s="112"/>
      <c r="T21" s="112"/>
      <c r="U21" s="112"/>
      <c r="V21" s="112"/>
    </row>
    <row r="22" spans="1:22" ht="15">
      <c r="A22" s="113" t="s">
        <v>703</v>
      </c>
      <c r="B22" s="112">
        <v>1</v>
      </c>
      <c r="C22" s="112"/>
      <c r="D22" s="112"/>
      <c r="E22" s="112"/>
      <c r="F22" s="112"/>
      <c r="G22" s="112"/>
      <c r="H22" s="112"/>
      <c r="I22" s="112"/>
      <c r="J22" s="112"/>
      <c r="K22" s="112"/>
      <c r="L22" s="112"/>
      <c r="M22" s="112"/>
      <c r="N22" s="112"/>
      <c r="O22" s="112"/>
      <c r="P22" s="112"/>
      <c r="Q22" s="112"/>
      <c r="R22" s="112"/>
      <c r="S22" s="112"/>
      <c r="T22" s="112"/>
      <c r="U22" s="112"/>
      <c r="V22" s="112"/>
    </row>
    <row r="23" spans="1:22" ht="15">
      <c r="A23" s="113" t="s">
        <v>702</v>
      </c>
      <c r="B23" s="112">
        <v>1</v>
      </c>
      <c r="C23" s="112"/>
      <c r="D23" s="112"/>
      <c r="E23" s="112"/>
      <c r="F23" s="112"/>
      <c r="G23" s="112"/>
      <c r="H23" s="112"/>
      <c r="I23" s="112"/>
      <c r="J23" s="112"/>
      <c r="K23" s="112"/>
      <c r="L23" s="112"/>
      <c r="M23" s="112"/>
      <c r="N23" s="112"/>
      <c r="O23" s="112"/>
      <c r="P23" s="112"/>
      <c r="Q23" s="112"/>
      <c r="R23" s="112"/>
      <c r="S23" s="112"/>
      <c r="T23" s="112"/>
      <c r="U23" s="112"/>
      <c r="V23" s="112"/>
    </row>
    <row r="24" spans="1:22" ht="15">
      <c r="A24" s="113" t="s">
        <v>701</v>
      </c>
      <c r="B24" s="112">
        <v>1</v>
      </c>
      <c r="C24" s="112"/>
      <c r="D24" s="112"/>
      <c r="E24" s="112"/>
      <c r="F24" s="112"/>
      <c r="G24" s="112"/>
      <c r="H24" s="112"/>
      <c r="I24" s="112"/>
      <c r="J24" s="112"/>
      <c r="K24" s="112"/>
      <c r="L24" s="112"/>
      <c r="M24" s="112"/>
      <c r="N24" s="112"/>
      <c r="O24" s="112"/>
      <c r="P24" s="112"/>
      <c r="Q24" s="112"/>
      <c r="R24" s="112"/>
      <c r="S24" s="112"/>
      <c r="T24" s="112"/>
      <c r="U24" s="112"/>
      <c r="V24" s="112"/>
    </row>
    <row r="27" spans="1:22" ht="15" customHeight="1">
      <c r="A27" s="7" t="s">
        <v>2372</v>
      </c>
      <c r="B27" s="7" t="s">
        <v>2358</v>
      </c>
      <c r="C27" s="7" t="s">
        <v>3276</v>
      </c>
      <c r="D27" s="7" t="s">
        <v>3234</v>
      </c>
      <c r="E27" s="7" t="s">
        <v>3277</v>
      </c>
      <c r="F27" s="7" t="s">
        <v>3239</v>
      </c>
      <c r="G27" s="7" t="s">
        <v>3278</v>
      </c>
      <c r="H27" s="7" t="s">
        <v>3241</v>
      </c>
      <c r="I27" s="7" t="s">
        <v>3279</v>
      </c>
      <c r="J27" s="7" t="s">
        <v>3244</v>
      </c>
      <c r="K27" s="7" t="s">
        <v>3280</v>
      </c>
      <c r="L27" s="7" t="s">
        <v>3247</v>
      </c>
      <c r="M27" s="7" t="s">
        <v>3281</v>
      </c>
      <c r="N27" s="7" t="s">
        <v>3249</v>
      </c>
      <c r="O27" s="7" t="s">
        <v>3282</v>
      </c>
      <c r="P27" s="7" t="s">
        <v>3251</v>
      </c>
      <c r="Q27" s="7" t="s">
        <v>3283</v>
      </c>
      <c r="R27" s="7" t="s">
        <v>3253</v>
      </c>
      <c r="S27" s="7" t="s">
        <v>3284</v>
      </c>
      <c r="T27" s="7" t="s">
        <v>3256</v>
      </c>
      <c r="U27" s="7" t="s">
        <v>3285</v>
      </c>
      <c r="V27" s="7" t="s">
        <v>3257</v>
      </c>
    </row>
    <row r="28" spans="1:22" ht="15">
      <c r="A28" s="116" t="s">
        <v>2373</v>
      </c>
      <c r="B28" s="116">
        <v>135</v>
      </c>
      <c r="C28" s="116" t="s">
        <v>2397</v>
      </c>
      <c r="D28" s="116">
        <v>2</v>
      </c>
      <c r="E28" s="116" t="s">
        <v>2374</v>
      </c>
      <c r="F28" s="116">
        <v>10</v>
      </c>
      <c r="G28" s="116" t="s">
        <v>2373</v>
      </c>
      <c r="H28" s="116">
        <v>13</v>
      </c>
      <c r="I28" s="116" t="s">
        <v>2374</v>
      </c>
      <c r="J28" s="116">
        <v>5</v>
      </c>
      <c r="K28" s="116" t="s">
        <v>2377</v>
      </c>
      <c r="L28" s="116">
        <v>14</v>
      </c>
      <c r="M28" s="116" t="s">
        <v>2374</v>
      </c>
      <c r="N28" s="116">
        <v>10</v>
      </c>
      <c r="O28" s="116" t="s">
        <v>2373</v>
      </c>
      <c r="P28" s="116">
        <v>9</v>
      </c>
      <c r="Q28" s="116" t="s">
        <v>2374</v>
      </c>
      <c r="R28" s="116">
        <v>11</v>
      </c>
      <c r="S28" s="116" t="s">
        <v>318</v>
      </c>
      <c r="T28" s="116">
        <v>9</v>
      </c>
      <c r="U28" s="116" t="s">
        <v>2654</v>
      </c>
      <c r="V28" s="116">
        <v>4</v>
      </c>
    </row>
    <row r="29" spans="1:22" ht="15">
      <c r="A29" s="114" t="s">
        <v>2374</v>
      </c>
      <c r="B29" s="116">
        <v>129</v>
      </c>
      <c r="C29" s="116" t="s">
        <v>681</v>
      </c>
      <c r="D29" s="116">
        <v>2</v>
      </c>
      <c r="E29" s="116" t="s">
        <v>2373</v>
      </c>
      <c r="F29" s="116">
        <v>10</v>
      </c>
      <c r="G29" s="116" t="s">
        <v>2374</v>
      </c>
      <c r="H29" s="116">
        <v>13</v>
      </c>
      <c r="I29" s="116" t="s">
        <v>2721</v>
      </c>
      <c r="J29" s="116">
        <v>5</v>
      </c>
      <c r="K29" s="116" t="s">
        <v>681</v>
      </c>
      <c r="L29" s="116">
        <v>14</v>
      </c>
      <c r="M29" s="116" t="s">
        <v>2373</v>
      </c>
      <c r="N29" s="116">
        <v>10</v>
      </c>
      <c r="O29" s="116" t="s">
        <v>2729</v>
      </c>
      <c r="P29" s="116">
        <v>5</v>
      </c>
      <c r="Q29" s="116" t="s">
        <v>2373</v>
      </c>
      <c r="R29" s="116">
        <v>11</v>
      </c>
      <c r="S29" s="116" t="s">
        <v>2375</v>
      </c>
      <c r="T29" s="116">
        <v>8</v>
      </c>
      <c r="U29" s="116" t="s">
        <v>2374</v>
      </c>
      <c r="V29" s="116">
        <v>3</v>
      </c>
    </row>
    <row r="30" spans="1:22" ht="15">
      <c r="A30" s="114" t="s">
        <v>681</v>
      </c>
      <c r="B30" s="116">
        <v>126</v>
      </c>
      <c r="C30" s="116" t="s">
        <v>2373</v>
      </c>
      <c r="D30" s="116">
        <v>2</v>
      </c>
      <c r="E30" s="116" t="s">
        <v>681</v>
      </c>
      <c r="F30" s="116">
        <v>10</v>
      </c>
      <c r="G30" s="116" t="s">
        <v>681</v>
      </c>
      <c r="H30" s="116">
        <v>12</v>
      </c>
      <c r="I30" s="116" t="s">
        <v>2373</v>
      </c>
      <c r="J30" s="116">
        <v>5</v>
      </c>
      <c r="K30" s="116" t="s">
        <v>2374</v>
      </c>
      <c r="L30" s="116">
        <v>13</v>
      </c>
      <c r="M30" s="116" t="s">
        <v>681</v>
      </c>
      <c r="N30" s="116">
        <v>9</v>
      </c>
      <c r="O30" s="116" t="s">
        <v>681</v>
      </c>
      <c r="P30" s="116">
        <v>4</v>
      </c>
      <c r="Q30" s="116" t="s">
        <v>681</v>
      </c>
      <c r="R30" s="116">
        <v>10</v>
      </c>
      <c r="S30" s="116" t="s">
        <v>2374</v>
      </c>
      <c r="T30" s="116">
        <v>3</v>
      </c>
      <c r="U30" s="116" t="s">
        <v>2376</v>
      </c>
      <c r="V30" s="116">
        <v>3</v>
      </c>
    </row>
    <row r="31" spans="1:22" ht="15">
      <c r="A31" s="114" t="s">
        <v>2376</v>
      </c>
      <c r="B31" s="116">
        <v>54</v>
      </c>
      <c r="C31" s="116" t="s">
        <v>2971</v>
      </c>
      <c r="D31" s="116">
        <v>2</v>
      </c>
      <c r="E31" s="116" t="s">
        <v>2379</v>
      </c>
      <c r="F31" s="116">
        <v>4</v>
      </c>
      <c r="G31" s="116" t="s">
        <v>2375</v>
      </c>
      <c r="H31" s="116">
        <v>8</v>
      </c>
      <c r="I31" s="116" t="s">
        <v>681</v>
      </c>
      <c r="J31" s="116">
        <v>5</v>
      </c>
      <c r="K31" s="116" t="s">
        <v>2373</v>
      </c>
      <c r="L31" s="116">
        <v>13</v>
      </c>
      <c r="M31" s="116" t="s">
        <v>2637</v>
      </c>
      <c r="N31" s="116">
        <v>5</v>
      </c>
      <c r="O31" s="116" t="s">
        <v>2374</v>
      </c>
      <c r="P31" s="116">
        <v>4</v>
      </c>
      <c r="Q31" s="116" t="s">
        <v>2376</v>
      </c>
      <c r="R31" s="116">
        <v>9</v>
      </c>
      <c r="S31" s="116" t="s">
        <v>2668</v>
      </c>
      <c r="T31" s="116">
        <v>3</v>
      </c>
      <c r="U31" s="116" t="s">
        <v>2377</v>
      </c>
      <c r="V31" s="116">
        <v>3</v>
      </c>
    </row>
    <row r="32" spans="1:22" ht="15">
      <c r="A32" s="114" t="s">
        <v>2375</v>
      </c>
      <c r="B32" s="116">
        <v>52</v>
      </c>
      <c r="C32" s="116" t="s">
        <v>2867</v>
      </c>
      <c r="D32" s="116">
        <v>2</v>
      </c>
      <c r="E32" s="116" t="s">
        <v>2380</v>
      </c>
      <c r="F32" s="116">
        <v>4</v>
      </c>
      <c r="G32" s="116" t="s">
        <v>2380</v>
      </c>
      <c r="H32" s="116">
        <v>5</v>
      </c>
      <c r="I32" s="116" t="s">
        <v>334</v>
      </c>
      <c r="J32" s="116">
        <v>4</v>
      </c>
      <c r="K32" s="116" t="s">
        <v>2375</v>
      </c>
      <c r="L32" s="116">
        <v>8</v>
      </c>
      <c r="M32" s="116" t="s">
        <v>2375</v>
      </c>
      <c r="N32" s="116">
        <v>5</v>
      </c>
      <c r="O32" s="116" t="s">
        <v>2649</v>
      </c>
      <c r="P32" s="116">
        <v>3</v>
      </c>
      <c r="Q32" s="116" t="s">
        <v>2688</v>
      </c>
      <c r="R32" s="116">
        <v>5</v>
      </c>
      <c r="S32" s="116" t="s">
        <v>2373</v>
      </c>
      <c r="T32" s="116">
        <v>3</v>
      </c>
      <c r="U32" s="116" t="s">
        <v>2373</v>
      </c>
      <c r="V32" s="116">
        <v>3</v>
      </c>
    </row>
    <row r="33" spans="1:22" ht="15">
      <c r="A33" s="114" t="s">
        <v>2377</v>
      </c>
      <c r="B33" s="116">
        <v>45</v>
      </c>
      <c r="C33" s="116" t="s">
        <v>456</v>
      </c>
      <c r="D33" s="116">
        <v>2</v>
      </c>
      <c r="E33" s="116" t="s">
        <v>2639</v>
      </c>
      <c r="F33" s="116">
        <v>4</v>
      </c>
      <c r="G33" s="116" t="s">
        <v>2381</v>
      </c>
      <c r="H33" s="116">
        <v>5</v>
      </c>
      <c r="I33" s="116" t="s">
        <v>359</v>
      </c>
      <c r="J33" s="116">
        <v>3</v>
      </c>
      <c r="K33" s="116" t="s">
        <v>2376</v>
      </c>
      <c r="L33" s="116">
        <v>7</v>
      </c>
      <c r="M33" s="116" t="s">
        <v>341</v>
      </c>
      <c r="N33" s="116">
        <v>4</v>
      </c>
      <c r="O33" s="116" t="s">
        <v>2638</v>
      </c>
      <c r="P33" s="116">
        <v>3</v>
      </c>
      <c r="Q33" s="116" t="s">
        <v>2645</v>
      </c>
      <c r="R33" s="116">
        <v>5</v>
      </c>
      <c r="S33" s="116" t="s">
        <v>2859</v>
      </c>
      <c r="T33" s="116">
        <v>2</v>
      </c>
      <c r="U33" s="116" t="s">
        <v>681</v>
      </c>
      <c r="V33" s="116">
        <v>3</v>
      </c>
    </row>
    <row r="34" spans="1:22" ht="15">
      <c r="A34" s="114" t="s">
        <v>2379</v>
      </c>
      <c r="B34" s="116">
        <v>26</v>
      </c>
      <c r="C34" s="116" t="s">
        <v>2374</v>
      </c>
      <c r="D34" s="116">
        <v>2</v>
      </c>
      <c r="E34" s="116" t="s">
        <v>2677</v>
      </c>
      <c r="F34" s="116">
        <v>4</v>
      </c>
      <c r="G34" s="116" t="s">
        <v>2379</v>
      </c>
      <c r="H34" s="116">
        <v>5</v>
      </c>
      <c r="I34" s="116" t="s">
        <v>2819</v>
      </c>
      <c r="J34" s="116">
        <v>3</v>
      </c>
      <c r="K34" s="116" t="s">
        <v>2639</v>
      </c>
      <c r="L34" s="116">
        <v>7</v>
      </c>
      <c r="M34" s="116" t="s">
        <v>2728</v>
      </c>
      <c r="N34" s="116">
        <v>4</v>
      </c>
      <c r="O34" s="116" t="s">
        <v>371</v>
      </c>
      <c r="P34" s="116">
        <v>2</v>
      </c>
      <c r="Q34" s="116" t="s">
        <v>2671</v>
      </c>
      <c r="R34" s="116">
        <v>5</v>
      </c>
      <c r="S34" s="116" t="s">
        <v>2640</v>
      </c>
      <c r="T34" s="116">
        <v>2</v>
      </c>
      <c r="U34" s="116" t="s">
        <v>388</v>
      </c>
      <c r="V34" s="116">
        <v>2</v>
      </c>
    </row>
    <row r="35" spans="1:22" ht="15">
      <c r="A35" s="114" t="s">
        <v>2380</v>
      </c>
      <c r="B35" s="116">
        <v>24</v>
      </c>
      <c r="C35" s="116"/>
      <c r="D35" s="116"/>
      <c r="E35" s="116" t="s">
        <v>2758</v>
      </c>
      <c r="F35" s="116">
        <v>3</v>
      </c>
      <c r="G35" s="116" t="s">
        <v>2377</v>
      </c>
      <c r="H35" s="116">
        <v>4</v>
      </c>
      <c r="I35" s="116" t="s">
        <v>2376</v>
      </c>
      <c r="J35" s="116">
        <v>3</v>
      </c>
      <c r="K35" s="116" t="s">
        <v>2636</v>
      </c>
      <c r="L35" s="116">
        <v>6</v>
      </c>
      <c r="M35" s="116" t="s">
        <v>2376</v>
      </c>
      <c r="N35" s="116">
        <v>4</v>
      </c>
      <c r="O35" s="116" t="s">
        <v>2846</v>
      </c>
      <c r="P35" s="116">
        <v>2</v>
      </c>
      <c r="Q35" s="116" t="s">
        <v>338</v>
      </c>
      <c r="R35" s="116">
        <v>4</v>
      </c>
      <c r="S35" s="116" t="s">
        <v>681</v>
      </c>
      <c r="T35" s="116">
        <v>2</v>
      </c>
      <c r="U35" s="116" t="s">
        <v>2719</v>
      </c>
      <c r="V35" s="116">
        <v>2</v>
      </c>
    </row>
    <row r="36" spans="1:22" ht="15">
      <c r="A36" s="114" t="s">
        <v>2378</v>
      </c>
      <c r="B36" s="116">
        <v>23</v>
      </c>
      <c r="C36" s="116"/>
      <c r="D36" s="116"/>
      <c r="E36" s="116" t="s">
        <v>419</v>
      </c>
      <c r="F36" s="116">
        <v>3</v>
      </c>
      <c r="G36" s="116" t="s">
        <v>2378</v>
      </c>
      <c r="H36" s="116">
        <v>4</v>
      </c>
      <c r="I36" s="116" t="s">
        <v>2641</v>
      </c>
      <c r="J36" s="116">
        <v>2</v>
      </c>
      <c r="K36" s="116" t="s">
        <v>2638</v>
      </c>
      <c r="L36" s="116">
        <v>6</v>
      </c>
      <c r="M36" s="116" t="s">
        <v>2643</v>
      </c>
      <c r="N36" s="116">
        <v>4</v>
      </c>
      <c r="O36" s="116" t="s">
        <v>2800</v>
      </c>
      <c r="P36" s="116">
        <v>2</v>
      </c>
      <c r="Q36" s="116" t="s">
        <v>2663</v>
      </c>
      <c r="R36" s="116">
        <v>4</v>
      </c>
      <c r="S36" s="116"/>
      <c r="T36" s="116"/>
      <c r="U36" s="116" t="s">
        <v>2667</v>
      </c>
      <c r="V36" s="116">
        <v>2</v>
      </c>
    </row>
    <row r="37" spans="1:22" ht="15">
      <c r="A37" s="114" t="s">
        <v>2381</v>
      </c>
      <c r="B37" s="116">
        <v>19</v>
      </c>
      <c r="C37" s="116"/>
      <c r="D37" s="116"/>
      <c r="E37" s="116" t="s">
        <v>2796</v>
      </c>
      <c r="F37" s="116">
        <v>2</v>
      </c>
      <c r="G37" s="116" t="s">
        <v>2637</v>
      </c>
      <c r="H37" s="116">
        <v>4</v>
      </c>
      <c r="I37" s="116" t="s">
        <v>390</v>
      </c>
      <c r="J37" s="116">
        <v>2</v>
      </c>
      <c r="K37" s="116" t="s">
        <v>2381</v>
      </c>
      <c r="L37" s="116">
        <v>6</v>
      </c>
      <c r="M37" s="116" t="s">
        <v>2708</v>
      </c>
      <c r="N37" s="116">
        <v>3</v>
      </c>
      <c r="O37" s="116" t="s">
        <v>2760</v>
      </c>
      <c r="P37" s="116">
        <v>2</v>
      </c>
      <c r="Q37" s="116" t="s">
        <v>2735</v>
      </c>
      <c r="R37" s="116">
        <v>3</v>
      </c>
      <c r="S37" s="116"/>
      <c r="T37" s="116"/>
      <c r="U37" s="116" t="s">
        <v>2886</v>
      </c>
      <c r="V37" s="116">
        <v>2</v>
      </c>
    </row>
    <row r="40" spans="1:22" ht="15" customHeight="1">
      <c r="A40" s="7" t="s">
        <v>2383</v>
      </c>
      <c r="B40" s="7" t="s">
        <v>2358</v>
      </c>
      <c r="C40" s="7" t="s">
        <v>3299</v>
      </c>
      <c r="D40" s="7" t="s">
        <v>3234</v>
      </c>
      <c r="E40" s="7" t="s">
        <v>3300</v>
      </c>
      <c r="F40" s="7" t="s">
        <v>3239</v>
      </c>
      <c r="G40" s="7" t="s">
        <v>3303</v>
      </c>
      <c r="H40" s="7" t="s">
        <v>3241</v>
      </c>
      <c r="I40" s="7" t="s">
        <v>3306</v>
      </c>
      <c r="J40" s="7" t="s">
        <v>3244</v>
      </c>
      <c r="K40" s="7" t="s">
        <v>3307</v>
      </c>
      <c r="L40" s="7" t="s">
        <v>3247</v>
      </c>
      <c r="M40" s="7" t="s">
        <v>3312</v>
      </c>
      <c r="N40" s="7" t="s">
        <v>3249</v>
      </c>
      <c r="O40" s="7" t="s">
        <v>3317</v>
      </c>
      <c r="P40" s="7" t="s">
        <v>3251</v>
      </c>
      <c r="Q40" s="7" t="s">
        <v>3324</v>
      </c>
      <c r="R40" s="7" t="s">
        <v>3253</v>
      </c>
      <c r="S40" s="7" t="s">
        <v>3326</v>
      </c>
      <c r="T40" s="7" t="s">
        <v>3256</v>
      </c>
      <c r="U40" s="7" t="s">
        <v>3327</v>
      </c>
      <c r="V40" s="7" t="s">
        <v>3257</v>
      </c>
    </row>
    <row r="41" spans="1:22" ht="15">
      <c r="A41" s="116" t="s">
        <v>2384</v>
      </c>
      <c r="B41" s="116">
        <v>115</v>
      </c>
      <c r="C41" s="116" t="s">
        <v>2384</v>
      </c>
      <c r="D41" s="116">
        <v>2</v>
      </c>
      <c r="E41" s="116" t="s">
        <v>2384</v>
      </c>
      <c r="F41" s="116">
        <v>10</v>
      </c>
      <c r="G41" s="116" t="s">
        <v>2384</v>
      </c>
      <c r="H41" s="116">
        <v>12</v>
      </c>
      <c r="I41" s="116" t="s">
        <v>2384</v>
      </c>
      <c r="J41" s="116">
        <v>5</v>
      </c>
      <c r="K41" s="116" t="s">
        <v>2384</v>
      </c>
      <c r="L41" s="116">
        <v>13</v>
      </c>
      <c r="M41" s="116" t="s">
        <v>2384</v>
      </c>
      <c r="N41" s="116">
        <v>10</v>
      </c>
      <c r="O41" s="116" t="s">
        <v>2385</v>
      </c>
      <c r="P41" s="116">
        <v>4</v>
      </c>
      <c r="Q41" s="116" t="s">
        <v>2384</v>
      </c>
      <c r="R41" s="116">
        <v>6</v>
      </c>
      <c r="S41" s="116" t="s">
        <v>2511</v>
      </c>
      <c r="T41" s="116">
        <v>4</v>
      </c>
      <c r="U41" s="116" t="s">
        <v>2384</v>
      </c>
      <c r="V41" s="116">
        <v>3</v>
      </c>
    </row>
    <row r="42" spans="1:22" ht="15">
      <c r="A42" s="114" t="s">
        <v>2385</v>
      </c>
      <c r="B42" s="116">
        <v>97</v>
      </c>
      <c r="C42" s="116" t="s">
        <v>2385</v>
      </c>
      <c r="D42" s="116">
        <v>2</v>
      </c>
      <c r="E42" s="116" t="s">
        <v>2385</v>
      </c>
      <c r="F42" s="116">
        <v>9</v>
      </c>
      <c r="G42" s="116" t="s">
        <v>2385</v>
      </c>
      <c r="H42" s="116">
        <v>8</v>
      </c>
      <c r="I42" s="116" t="s">
        <v>2385</v>
      </c>
      <c r="J42" s="116">
        <v>5</v>
      </c>
      <c r="K42" s="116" t="s">
        <v>2385</v>
      </c>
      <c r="L42" s="116">
        <v>12</v>
      </c>
      <c r="M42" s="116" t="s">
        <v>2385</v>
      </c>
      <c r="N42" s="116">
        <v>8</v>
      </c>
      <c r="O42" s="116" t="s">
        <v>3318</v>
      </c>
      <c r="P42" s="116">
        <v>3</v>
      </c>
      <c r="Q42" s="116" t="s">
        <v>2385</v>
      </c>
      <c r="R42" s="116">
        <v>6</v>
      </c>
      <c r="S42" s="116" t="s">
        <v>2384</v>
      </c>
      <c r="T42" s="116">
        <v>3</v>
      </c>
      <c r="U42" s="116" t="s">
        <v>2385</v>
      </c>
      <c r="V42" s="116">
        <v>3</v>
      </c>
    </row>
    <row r="43" spans="1:22" ht="15">
      <c r="A43" s="114" t="s">
        <v>2386</v>
      </c>
      <c r="B43" s="116">
        <v>11</v>
      </c>
      <c r="C43" s="116"/>
      <c r="D43" s="116"/>
      <c r="E43" s="116" t="s">
        <v>2393</v>
      </c>
      <c r="F43" s="116">
        <v>4</v>
      </c>
      <c r="G43" s="116" t="s">
        <v>3410</v>
      </c>
      <c r="H43" s="116">
        <v>3</v>
      </c>
      <c r="I43" s="116" t="s">
        <v>11392</v>
      </c>
      <c r="J43" s="116">
        <v>2</v>
      </c>
      <c r="K43" s="116" t="s">
        <v>3301</v>
      </c>
      <c r="L43" s="116">
        <v>4</v>
      </c>
      <c r="M43" s="116" t="s">
        <v>2386</v>
      </c>
      <c r="N43" s="116">
        <v>4</v>
      </c>
      <c r="O43" s="116" t="s">
        <v>2384</v>
      </c>
      <c r="P43" s="116">
        <v>3</v>
      </c>
      <c r="Q43" s="116" t="s">
        <v>2389</v>
      </c>
      <c r="R43" s="116">
        <v>5</v>
      </c>
      <c r="S43" s="116" t="s">
        <v>3325</v>
      </c>
      <c r="T43" s="116">
        <v>2</v>
      </c>
      <c r="U43" s="116" t="s">
        <v>3304</v>
      </c>
      <c r="V43" s="116">
        <v>2</v>
      </c>
    </row>
    <row r="44" spans="1:22" ht="15">
      <c r="A44" s="114" t="s">
        <v>2389</v>
      </c>
      <c r="B44" s="116">
        <v>10</v>
      </c>
      <c r="C44" s="116"/>
      <c r="D44" s="116"/>
      <c r="E44" s="116" t="s">
        <v>3412</v>
      </c>
      <c r="F44" s="116">
        <v>2</v>
      </c>
      <c r="G44" s="116" t="s">
        <v>2391</v>
      </c>
      <c r="H44" s="116">
        <v>3</v>
      </c>
      <c r="I44" s="116" t="s">
        <v>11393</v>
      </c>
      <c r="J44" s="116">
        <v>2</v>
      </c>
      <c r="K44" s="116" t="s">
        <v>3302</v>
      </c>
      <c r="L44" s="116">
        <v>3</v>
      </c>
      <c r="M44" s="116" t="s">
        <v>11397</v>
      </c>
      <c r="N44" s="116">
        <v>3</v>
      </c>
      <c r="O44" s="116" t="s">
        <v>3320</v>
      </c>
      <c r="P44" s="116">
        <v>2</v>
      </c>
      <c r="Q44" s="116" t="s">
        <v>2392</v>
      </c>
      <c r="R44" s="116">
        <v>5</v>
      </c>
      <c r="S44" s="116" t="s">
        <v>2385</v>
      </c>
      <c r="T44" s="116">
        <v>2</v>
      </c>
      <c r="U44" s="116" t="s">
        <v>3305</v>
      </c>
      <c r="V44" s="116">
        <v>2</v>
      </c>
    </row>
    <row r="45" spans="1:22" ht="15">
      <c r="A45" s="114" t="s">
        <v>2388</v>
      </c>
      <c r="B45" s="116">
        <v>10</v>
      </c>
      <c r="C45" s="116"/>
      <c r="D45" s="116"/>
      <c r="E45" s="116"/>
      <c r="F45" s="116"/>
      <c r="G45" s="116" t="s">
        <v>2390</v>
      </c>
      <c r="H45" s="116">
        <v>3</v>
      </c>
      <c r="I45" s="116" t="s">
        <v>3499</v>
      </c>
      <c r="J45" s="116">
        <v>2</v>
      </c>
      <c r="K45" s="116" t="s">
        <v>3500</v>
      </c>
      <c r="L45" s="116">
        <v>2</v>
      </c>
      <c r="M45" s="116" t="s">
        <v>3308</v>
      </c>
      <c r="N45" s="116">
        <v>2</v>
      </c>
      <c r="O45" s="116" t="s">
        <v>3323</v>
      </c>
      <c r="P45" s="116">
        <v>2</v>
      </c>
      <c r="Q45" s="116" t="s">
        <v>2388</v>
      </c>
      <c r="R45" s="116">
        <v>5</v>
      </c>
      <c r="S45" s="116"/>
      <c r="T45" s="116"/>
      <c r="U45" s="116"/>
      <c r="V45" s="116"/>
    </row>
    <row r="46" spans="1:22" ht="15">
      <c r="A46" s="114" t="s">
        <v>2387</v>
      </c>
      <c r="B46" s="116">
        <v>9</v>
      </c>
      <c r="C46" s="116"/>
      <c r="D46" s="116"/>
      <c r="E46" s="116"/>
      <c r="F46" s="116"/>
      <c r="G46" s="116" t="s">
        <v>3408</v>
      </c>
      <c r="H46" s="116">
        <v>3</v>
      </c>
      <c r="I46" s="116"/>
      <c r="J46" s="116"/>
      <c r="K46" s="116" t="s">
        <v>3501</v>
      </c>
      <c r="L46" s="116">
        <v>2</v>
      </c>
      <c r="M46" s="116" t="s">
        <v>3309</v>
      </c>
      <c r="N46" s="116">
        <v>2</v>
      </c>
      <c r="O46" s="116" t="s">
        <v>3321</v>
      </c>
      <c r="P46" s="116">
        <v>2</v>
      </c>
      <c r="Q46" s="116" t="s">
        <v>3313</v>
      </c>
      <c r="R46" s="116">
        <v>5</v>
      </c>
      <c r="S46" s="116"/>
      <c r="T46" s="116"/>
      <c r="U46" s="116"/>
      <c r="V46" s="116"/>
    </row>
    <row r="47" spans="1:22" ht="15">
      <c r="A47" s="114" t="s">
        <v>2391</v>
      </c>
      <c r="B47" s="116">
        <v>7</v>
      </c>
      <c r="C47" s="116"/>
      <c r="D47" s="116"/>
      <c r="E47" s="116"/>
      <c r="F47" s="116"/>
      <c r="G47" s="116" t="s">
        <v>2386</v>
      </c>
      <c r="H47" s="116">
        <v>3</v>
      </c>
      <c r="I47" s="116"/>
      <c r="J47" s="116"/>
      <c r="K47" s="116" t="s">
        <v>11394</v>
      </c>
      <c r="L47" s="116">
        <v>2</v>
      </c>
      <c r="M47" s="116" t="s">
        <v>3311</v>
      </c>
      <c r="N47" s="116">
        <v>2</v>
      </c>
      <c r="O47" s="116" t="s">
        <v>3322</v>
      </c>
      <c r="P47" s="116">
        <v>2</v>
      </c>
      <c r="Q47" s="116" t="s">
        <v>3314</v>
      </c>
      <c r="R47" s="116">
        <v>3</v>
      </c>
      <c r="S47" s="116"/>
      <c r="T47" s="116"/>
      <c r="U47" s="116"/>
      <c r="V47" s="116"/>
    </row>
    <row r="48" spans="1:22" ht="15">
      <c r="A48" s="114" t="s">
        <v>2392</v>
      </c>
      <c r="B48" s="116">
        <v>7</v>
      </c>
      <c r="C48" s="116"/>
      <c r="D48" s="116"/>
      <c r="E48" s="116"/>
      <c r="F48" s="116"/>
      <c r="G48" s="116" t="s">
        <v>3409</v>
      </c>
      <c r="H48" s="116">
        <v>3</v>
      </c>
      <c r="I48" s="116"/>
      <c r="J48" s="116"/>
      <c r="K48" s="116" t="s">
        <v>11395</v>
      </c>
      <c r="L48" s="116">
        <v>2</v>
      </c>
      <c r="M48" s="116" t="s">
        <v>3310</v>
      </c>
      <c r="N48" s="116">
        <v>2</v>
      </c>
      <c r="O48" s="116" t="s">
        <v>3319</v>
      </c>
      <c r="P48" s="116">
        <v>2</v>
      </c>
      <c r="Q48" s="116" t="s">
        <v>3315</v>
      </c>
      <c r="R48" s="116">
        <v>3</v>
      </c>
      <c r="S48" s="116"/>
      <c r="T48" s="116"/>
      <c r="U48" s="116"/>
      <c r="V48" s="116"/>
    </row>
    <row r="49" spans="1:22" ht="15">
      <c r="A49" s="114" t="s">
        <v>2390</v>
      </c>
      <c r="B49" s="116">
        <v>6</v>
      </c>
      <c r="C49" s="116"/>
      <c r="D49" s="116"/>
      <c r="E49" s="116"/>
      <c r="F49" s="116"/>
      <c r="G49" s="116" t="s">
        <v>11391</v>
      </c>
      <c r="H49" s="116">
        <v>2</v>
      </c>
      <c r="I49" s="116"/>
      <c r="J49" s="116"/>
      <c r="K49" s="116" t="s">
        <v>11396</v>
      </c>
      <c r="L49" s="116">
        <v>2</v>
      </c>
      <c r="M49" s="116" t="s">
        <v>11398</v>
      </c>
      <c r="N49" s="116">
        <v>2</v>
      </c>
      <c r="O49" s="116"/>
      <c r="P49" s="116"/>
      <c r="Q49" s="116" t="s">
        <v>3316</v>
      </c>
      <c r="R49" s="116">
        <v>3</v>
      </c>
      <c r="S49" s="116"/>
      <c r="T49" s="116"/>
      <c r="U49" s="116"/>
      <c r="V49" s="116"/>
    </row>
    <row r="50" spans="1:22" ht="15">
      <c r="A50" s="114" t="s">
        <v>3313</v>
      </c>
      <c r="B50" s="116">
        <v>5</v>
      </c>
      <c r="C50" s="116"/>
      <c r="D50" s="116"/>
      <c r="E50" s="116"/>
      <c r="F50" s="116"/>
      <c r="G50" s="116" t="s">
        <v>3411</v>
      </c>
      <c r="H50" s="116">
        <v>2</v>
      </c>
      <c r="I50" s="116"/>
      <c r="J50" s="116"/>
      <c r="K50" s="116" t="s">
        <v>3491</v>
      </c>
      <c r="L50" s="116">
        <v>2</v>
      </c>
      <c r="M50" s="116" t="s">
        <v>11399</v>
      </c>
      <c r="N50" s="116">
        <v>2</v>
      </c>
      <c r="O50" s="116"/>
      <c r="P50" s="116"/>
      <c r="Q50" s="116" t="s">
        <v>11400</v>
      </c>
      <c r="R50" s="116">
        <v>2</v>
      </c>
      <c r="S50" s="116"/>
      <c r="T50" s="116"/>
      <c r="U50" s="116"/>
      <c r="V50" s="116"/>
    </row>
    <row r="53" ht="15" customHeight="1"/>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 ref="G2" r:id="rId11" display="https://nasional.sindonews.com/read/621377/12/daftarkan-gugatan-presidential-threshold-ke-mk-refly-harun-dan-ferry-juliantono-salam-nol-persen-1638875579"/>
    <hyperlink ref="G3" r:id="rId12" display="https://nasional.tempo.co/read/1612284/survei-charta-politika-ganjar-unggul-telak-715-persen-di-jawa-tengah-puan-nol-koma#.YtH7LVDzC6U.twitter"/>
    <hyperlink ref="G4" r:id="rId13" display="http://dlvr.it/SdWj9q"/>
    <hyperlink ref="G5" r:id="rId14" display="https://www.dailynewsindonesia.com/news/daftarkan-gugatan-pt-ke-mk-refly-harun-salam-nol-persen/"/>
    <hyperlink ref="K2" r:id="rId15" display="https://travel.detik.com/travel-news/d-5934657/turis-perdana-ke-bali-dibiayai-kemenparekraf-garuda-dan-hotel"/>
    <hyperlink ref="K3" r:id="rId16" display="https://bit.ly/3rJk6To"/>
    <hyperlink ref="K4" r:id="rId17" display="https://keuangannews.id/jokowi-disebut-melakukan-kkn-terang-terangan-gibran-dan-bobby-nasution-disinggung/"/>
    <hyperlink ref="K5" r:id="rId18" display="https://cnnindonesia.com/ekonomi/20220214160006-532-759025/ri-turun-jadi-negara-penghasilan-menengah-bawah-bi-salahkan-pandemi?utm_source=twitter&amp;utm_medium=oa&amp;utm_content=cnnindonesia&amp;utm_campaign=cmssocmed"/>
    <hyperlink ref="M2" r:id="rId19" display="https://news.detik.com/berita/d-5860072/survei-arci-804-masyarakat-jatim-ingin-presidential-threshold-0"/>
    <hyperlink ref="M3" r:id="rId20" display="https://chng.it/XpRxqxpy"/>
    <hyperlink ref="M4" r:id="rId21" display="https://chng.it/K4pfyT7w"/>
    <hyperlink ref="Q2" r:id="rId22" display="https://youtu.be/X5TlArCX_Mo"/>
  </hyperlinks>
  <printOptions/>
  <pageMargins left="0.7" right="0.7" top="0.75" bottom="0.75" header="0.3" footer="0.3"/>
  <pageSetup orientation="portrait" paperSize="9"/>
  <tableParts>
    <tablePart r:id="rId23"/>
    <tablePart r:id="rId25"/>
    <tablePart r:id="rId24"/>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O279"/>
  <sheetViews>
    <sheetView zoomScale="70" zoomScaleNormal="70" workbookViewId="0" topLeftCell="A1">
      <pane xSplit="1" ySplit="2" topLeftCell="B226" activePane="bottomRight" state="frozen"/>
      <selection pane="topRight" activeCell="B1" sqref="B1"/>
      <selection pane="bottomLeft" activeCell="A3" sqref="A3"/>
      <selection pane="bottomRight" activeCell="A2" sqref="A2:CN2"/>
    </sheetView>
  </sheetViews>
  <sheetFormatPr defaultColWidth="9.140625" defaultRowHeight="15"/>
  <cols>
    <col min="1" max="1" width="18.8515625" style="1" bestFit="1" customWidth="1"/>
    <col min="2" max="2" width="12.421875" style="0" bestFit="1" customWidth="1"/>
    <col min="3" max="3" width="16.28125" style="0" bestFit="1" customWidth="1"/>
    <col min="4" max="4" width="9.7109375" style="0" bestFit="1" customWidth="1"/>
    <col min="5" max="5" width="7.8515625" style="0" bestFit="1" customWidth="1"/>
    <col min="6" max="6" width="11.00390625" style="0" bestFit="1" customWidth="1"/>
    <col min="7" max="7" width="101.8515625" style="0" bestFit="1" customWidth="1"/>
    <col min="8" max="8" width="11.421875" style="0" bestFit="1" customWidth="1"/>
    <col min="9" max="9" width="8.8515625" style="121" bestFit="1" customWidth="1"/>
    <col min="10" max="10" width="9.7109375" style="0" customWidth="1"/>
    <col min="11" max="11" width="10.57421875" style="0" customWidth="1"/>
    <col min="12" max="13" width="9.140625" style="0" customWidth="1"/>
    <col min="14" max="15" width="7.7109375" style="0" bestFit="1" customWidth="1"/>
    <col min="16" max="16" width="11.421875" style="0" bestFit="1" customWidth="1"/>
    <col min="17" max="17" width="9.140625" style="0" bestFit="1" customWidth="1"/>
    <col min="18" max="18" width="9.28125" style="0" bestFit="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7109375" style="2" bestFit="1" customWidth="1"/>
    <col min="31" max="31" width="42.57421875" style="0" customWidth="1"/>
    <col min="32" max="32" width="21.140625" style="0" customWidth="1"/>
    <col min="33" max="33" width="12.421875" style="0" bestFit="1" customWidth="1"/>
    <col min="34" max="34" width="12.00390625" style="0" bestFit="1" customWidth="1"/>
    <col min="35" max="35" width="10.57421875" style="0" bestFit="1"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33.140625" style="0" bestFit="1" customWidth="1"/>
    <col min="42" max="42" width="165.8515625" style="0" bestFit="1"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24.8515625" style="0" bestFit="1" customWidth="1"/>
    <col min="51" max="51" width="11.00390625" style="0" bestFit="1" customWidth="1"/>
    <col min="52" max="52" width="14.421875" style="0" bestFit="1"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69.140625" style="0" bestFit="1"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7" width="16.140625" style="0" customWidth="1"/>
    <col min="68" max="68" width="37.421875" style="0" bestFit="1" customWidth="1"/>
    <col min="69" max="69" width="17.28125" style="0" customWidth="1"/>
    <col min="70" max="70" width="19.57421875" style="0" customWidth="1"/>
    <col min="71" max="71" width="17.28125" style="0" customWidth="1"/>
    <col min="72" max="72" width="19.57421875" style="0" customWidth="1"/>
    <col min="73" max="73" width="17.28125" style="0" customWidth="1"/>
    <col min="74" max="74" width="19.57421875" style="0" customWidth="1"/>
    <col min="75" max="75" width="141.7109375" style="0" bestFit="1" customWidth="1"/>
    <col min="76" max="76" width="139.00390625" style="0" bestFit="1" customWidth="1"/>
    <col min="77" max="77" width="18.8515625" style="0" customWidth="1"/>
    <col min="78" max="78" width="19.57421875" style="0" customWidth="1"/>
    <col min="79" max="79" width="19.140625" style="0" customWidth="1"/>
    <col min="80" max="80" width="23.8515625" style="0" customWidth="1"/>
    <col min="81" max="81" width="19.140625" style="0" customWidth="1"/>
    <col min="82" max="82" width="23.8515625" style="0" customWidth="1"/>
    <col min="83" max="83" width="19.140625" style="0" customWidth="1"/>
    <col min="84" max="84" width="23.8515625" style="0" customWidth="1"/>
    <col min="85" max="85" width="18.140625" style="0" customWidth="1"/>
    <col min="86" max="86" width="22.28125" style="0" customWidth="1"/>
    <col min="87" max="87" width="17.00390625" style="0" customWidth="1"/>
    <col min="88" max="88" width="9.28125" style="0" customWidth="1"/>
    <col min="89" max="90" width="16.28125" style="0" bestFit="1" customWidth="1"/>
    <col min="91" max="91" width="17.421875" style="0" bestFit="1" customWidth="1"/>
    <col min="92" max="92" width="19.57421875" style="0" bestFit="1" customWidth="1"/>
  </cols>
  <sheetData>
    <row r="1" spans="2:30" ht="15">
      <c r="B1" s="1"/>
      <c r="C1" s="21" t="s">
        <v>39</v>
      </c>
      <c r="D1" s="14"/>
      <c r="E1" s="14"/>
      <c r="F1" s="14"/>
      <c r="G1" s="14"/>
      <c r="H1" s="14"/>
      <c r="I1" s="122" t="s">
        <v>43</v>
      </c>
      <c r="J1" s="22"/>
      <c r="K1" s="22"/>
      <c r="L1" s="22"/>
      <c r="M1" s="24" t="s">
        <v>44</v>
      </c>
      <c r="N1" s="23"/>
      <c r="O1" s="23"/>
      <c r="P1" s="23"/>
      <c r="Q1" s="23"/>
      <c r="R1" s="23"/>
      <c r="S1" s="20" t="s">
        <v>42</v>
      </c>
      <c r="T1" s="17"/>
      <c r="U1" s="18"/>
      <c r="V1" s="19"/>
      <c r="W1" s="17"/>
      <c r="X1" s="17"/>
      <c r="Y1" s="17"/>
      <c r="Z1" s="17"/>
      <c r="AA1" s="17"/>
      <c r="AB1" s="25" t="s">
        <v>40</v>
      </c>
      <c r="AC1" s="16"/>
      <c r="AD1" s="26" t="s">
        <v>41</v>
      </c>
    </row>
    <row r="2" spans="1:92" ht="30" customHeight="1">
      <c r="A2" s="10" t="s">
        <v>5</v>
      </c>
      <c r="B2" t="s">
        <v>3230</v>
      </c>
      <c r="C2" s="7" t="s">
        <v>2</v>
      </c>
      <c r="D2" s="7" t="s">
        <v>8</v>
      </c>
      <c r="E2" s="8" t="s">
        <v>45</v>
      </c>
      <c r="F2" s="9" t="s">
        <v>4</v>
      </c>
      <c r="G2" s="7" t="s">
        <v>48</v>
      </c>
      <c r="H2" s="7" t="s">
        <v>11</v>
      </c>
      <c r="I2" s="123"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136</v>
      </c>
      <c r="Z2" s="7" t="s">
        <v>37</v>
      </c>
      <c r="AA2" s="7" t="s">
        <v>169</v>
      </c>
      <c r="AB2" s="10" t="s">
        <v>12</v>
      </c>
      <c r="AC2" s="10" t="s">
        <v>38</v>
      </c>
      <c r="AD2" s="7" t="s">
        <v>26</v>
      </c>
      <c r="AE2" s="7" t="s">
        <v>1496</v>
      </c>
      <c r="AF2" s="7" t="s">
        <v>1497</v>
      </c>
      <c r="AG2" s="7" t="s">
        <v>1498</v>
      </c>
      <c r="AH2" s="7" t="s">
        <v>1499</v>
      </c>
      <c r="AI2" s="7" t="s">
        <v>1500</v>
      </c>
      <c r="AJ2" s="7" t="s">
        <v>1501</v>
      </c>
      <c r="AK2" s="7" t="s">
        <v>1502</v>
      </c>
      <c r="AL2" s="7" t="s">
        <v>1503</v>
      </c>
      <c r="AM2" s="7" t="s">
        <v>1504</v>
      </c>
      <c r="AN2" s="7" t="s">
        <v>1505</v>
      </c>
      <c r="AO2" s="7" t="s">
        <v>1506</v>
      </c>
      <c r="AP2" s="7" t="s">
        <v>1507</v>
      </c>
      <c r="AQ2" s="7" t="s">
        <v>1508</v>
      </c>
      <c r="AR2" s="7" t="s">
        <v>1509</v>
      </c>
      <c r="AS2" s="7" t="s">
        <v>1510</v>
      </c>
      <c r="AT2" s="7" t="s">
        <v>1511</v>
      </c>
      <c r="AU2" s="7" t="s">
        <v>1512</v>
      </c>
      <c r="AV2" s="7" t="s">
        <v>1513</v>
      </c>
      <c r="AW2" s="7" t="s">
        <v>1514</v>
      </c>
      <c r="AX2" s="7" t="s">
        <v>1515</v>
      </c>
      <c r="AY2" s="7" t="s">
        <v>1516</v>
      </c>
      <c r="AZ2" s="7" t="s">
        <v>1517</v>
      </c>
      <c r="BA2" s="7" t="s">
        <v>1518</v>
      </c>
      <c r="BB2" s="7" t="s">
        <v>1519</v>
      </c>
      <c r="BC2" s="7" t="s">
        <v>1520</v>
      </c>
      <c r="BD2" s="7" t="s">
        <v>1521</v>
      </c>
      <c r="BE2" s="7" t="s">
        <v>1522</v>
      </c>
      <c r="BF2" s="7" t="s">
        <v>1523</v>
      </c>
      <c r="BG2" s="7" t="s">
        <v>1524</v>
      </c>
      <c r="BH2" s="7" t="s">
        <v>195</v>
      </c>
      <c r="BI2" s="7" t="s">
        <v>1525</v>
      </c>
      <c r="BJ2" s="7" t="s">
        <v>1526</v>
      </c>
      <c r="BK2" s="7" t="s">
        <v>1527</v>
      </c>
      <c r="BL2" s="7" t="s">
        <v>1528</v>
      </c>
      <c r="BM2" s="7" t="s">
        <v>1529</v>
      </c>
      <c r="BN2" s="7" t="s">
        <v>1530</v>
      </c>
      <c r="BO2" s="7" t="s">
        <v>1531</v>
      </c>
      <c r="BP2" s="7" t="s">
        <v>1532</v>
      </c>
      <c r="BQ2" s="94" t="s">
        <v>2402</v>
      </c>
      <c r="BR2" s="94" t="s">
        <v>2410</v>
      </c>
      <c r="BS2" s="94" t="s">
        <v>2412</v>
      </c>
      <c r="BT2" s="94" t="s">
        <v>2413</v>
      </c>
      <c r="BU2" s="94" t="s">
        <v>2414</v>
      </c>
      <c r="BV2" s="94" t="s">
        <v>2422</v>
      </c>
      <c r="BW2" s="94" t="s">
        <v>2428</v>
      </c>
      <c r="BX2" s="94" t="s">
        <v>2473</v>
      </c>
      <c r="BY2" s="94" t="s">
        <v>2478</v>
      </c>
      <c r="BZ2" s="94" t="s">
        <v>2575</v>
      </c>
      <c r="CA2" s="94" t="s">
        <v>3046</v>
      </c>
      <c r="CB2" s="94" t="s">
        <v>3047</v>
      </c>
      <c r="CC2" s="94" t="s">
        <v>3048</v>
      </c>
      <c r="CD2" s="94" t="s">
        <v>3049</v>
      </c>
      <c r="CE2" s="94" t="s">
        <v>3050</v>
      </c>
      <c r="CF2" s="94" t="s">
        <v>3051</v>
      </c>
      <c r="CG2" s="94" t="s">
        <v>3052</v>
      </c>
      <c r="CH2" s="94" t="s">
        <v>3053</v>
      </c>
      <c r="CI2" s="94" t="s">
        <v>3055</v>
      </c>
      <c r="CJ2" s="7" t="s">
        <v>3227</v>
      </c>
      <c r="CK2" s="94" t="s">
        <v>11372</v>
      </c>
      <c r="CL2" s="94" t="s">
        <v>11373</v>
      </c>
      <c r="CM2" s="94" t="s">
        <v>11374</v>
      </c>
      <c r="CN2" s="94" t="s">
        <v>11375</v>
      </c>
    </row>
    <row r="3" spans="1:92" ht="41.45" customHeight="1">
      <c r="A3" s="59" t="s">
        <v>341</v>
      </c>
      <c r="C3" s="60"/>
      <c r="D3" s="60" t="s">
        <v>64</v>
      </c>
      <c r="E3" s="61">
        <v>10</v>
      </c>
      <c r="F3" s="63"/>
      <c r="G3" s="92" t="str">
        <f>HYPERLINK("https://pbs.twimg.com/profile_images/1729661952165851136/6w0Zdfji_normal.jpg")</f>
        <v>https://pbs.twimg.com/profile_images/1729661952165851136/6w0Zdfji_normal.jpg</v>
      </c>
      <c r="H3" s="60"/>
      <c r="I3" s="64" t="str">
        <f>Vertices[[#This Row],[Vertex]]</f>
        <v>fahiraidris</v>
      </c>
      <c r="J3" s="65"/>
      <c r="K3" s="65"/>
      <c r="L3" s="64"/>
      <c r="M3" s="68"/>
      <c r="N3" s="69">
        <v>3429.963134765625</v>
      </c>
      <c r="O3" s="69">
        <v>2285.24658203125</v>
      </c>
      <c r="P3" s="70"/>
      <c r="Q3" s="71"/>
      <c r="R3" s="71"/>
      <c r="S3" s="78"/>
      <c r="T3" s="44">
        <v>12</v>
      </c>
      <c r="U3" s="44">
        <v>1</v>
      </c>
      <c r="V3" s="45">
        <v>6744.481913</v>
      </c>
      <c r="W3" s="45">
        <v>0.187464</v>
      </c>
      <c r="X3" s="45">
        <v>0.026016</v>
      </c>
      <c r="Y3" s="45">
        <v>0.006639</v>
      </c>
      <c r="Z3" s="45">
        <v>0</v>
      </c>
      <c r="AA3" s="45">
        <v>0</v>
      </c>
      <c r="AB3" s="66">
        <v>3</v>
      </c>
      <c r="AC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 s="67"/>
      <c r="AE3" t="s">
        <v>1565</v>
      </c>
      <c r="AF3" s="74" t="s">
        <v>1328</v>
      </c>
      <c r="AG3">
        <v>679435</v>
      </c>
      <c r="AH3">
        <v>29341</v>
      </c>
      <c r="AI3">
        <v>248212</v>
      </c>
      <c r="AJ3">
        <v>659</v>
      </c>
      <c r="AK3">
        <v>49168</v>
      </c>
      <c r="AL3">
        <v>14754</v>
      </c>
      <c r="AM3" t="b">
        <v>0</v>
      </c>
      <c r="AN3" s="73">
        <v>40049.10741898148</v>
      </c>
      <c r="AO3" t="s">
        <v>1948</v>
      </c>
      <c r="AP3" t="s">
        <v>2049</v>
      </c>
      <c r="AQ3" s="76" t="str">
        <f>HYPERLINK("https://t.co/mIR12IhJRT")</f>
        <v>https://t.co/mIR12IhJRT</v>
      </c>
      <c r="AR3" s="76" t="str">
        <f>HYPERLINK("https://simpellink.com/fahiraidris.se.mh")</f>
        <v>https://simpellink.com/fahiraidris.se.mh</v>
      </c>
      <c r="AS3" t="s">
        <v>2267</v>
      </c>
      <c r="AW3">
        <v>1.24478471953265E+18</v>
      </c>
      <c r="AX3" s="76" t="str">
        <f>HYPERLINK("https://t.co/mIR12IhJRT")</f>
        <v>https://t.co/mIR12IhJRT</v>
      </c>
      <c r="AY3" t="b">
        <v>0</v>
      </c>
      <c r="BB3" t="b">
        <v>0</v>
      </c>
      <c r="BC3" t="b">
        <v>1</v>
      </c>
      <c r="BD3" t="b">
        <v>0</v>
      </c>
      <c r="BE3" t="b">
        <v>0</v>
      </c>
      <c r="BF3" t="b">
        <v>1</v>
      </c>
      <c r="BG3" t="b">
        <v>0</v>
      </c>
      <c r="BH3" t="b">
        <v>0</v>
      </c>
      <c r="BI3" s="76" t="str">
        <f>HYPERLINK("https://pbs.twimg.com/profile_banners/68304724/1701218555")</f>
        <v>https://pbs.twimg.com/profile_banners/68304724/1701218555</v>
      </c>
      <c r="BK3" t="s">
        <v>2343</v>
      </c>
      <c r="BL3" t="b">
        <v>0</v>
      </c>
      <c r="BN3" t="s">
        <v>66</v>
      </c>
      <c r="BO3" t="s">
        <v>2345</v>
      </c>
      <c r="BP3" s="76" t="str">
        <f>HYPERLINK("https://twitter.com/fahiraidris")</f>
        <v>https://twitter.com/fahiraidris</v>
      </c>
      <c r="BQ3" s="44"/>
      <c r="BR3" s="44"/>
      <c r="BS3" s="44"/>
      <c r="BT3" s="44"/>
      <c r="BU3" s="44"/>
      <c r="BV3" s="44"/>
      <c r="BW3" s="95" t="s">
        <v>3426</v>
      </c>
      <c r="BX3" s="95" t="s">
        <v>3426</v>
      </c>
      <c r="BY3" s="95" t="s">
        <v>3444</v>
      </c>
      <c r="BZ3" s="95" t="s">
        <v>3444</v>
      </c>
      <c r="CA3" s="95">
        <v>0</v>
      </c>
      <c r="CB3" s="98">
        <v>0</v>
      </c>
      <c r="CC3" s="95">
        <v>1</v>
      </c>
      <c r="CD3" s="98">
        <v>2.2222222222222223</v>
      </c>
      <c r="CE3" s="95">
        <v>0</v>
      </c>
      <c r="CF3" s="98">
        <v>0</v>
      </c>
      <c r="CG3" s="95">
        <v>43</v>
      </c>
      <c r="CH3" s="98">
        <v>95.55555555555556</v>
      </c>
      <c r="CI3" s="95">
        <v>45</v>
      </c>
      <c r="CJ3" s="116" t="str">
        <f>REPLACE(INDEX(GroupVertices[Group],MATCH("~"&amp;Vertices[[#This Row],[Vertex]],GroupVertices[Vertex],0)),1,1,"")</f>
        <v>6</v>
      </c>
      <c r="CK3" s="95"/>
      <c r="CL3" s="95"/>
      <c r="CM3" s="95"/>
      <c r="CN3" s="95"/>
    </row>
    <row r="4" spans="1:93" ht="41.45" customHeight="1">
      <c r="A4" s="59" t="s">
        <v>318</v>
      </c>
      <c r="C4" s="125"/>
      <c r="D4" s="60" t="s">
        <v>64</v>
      </c>
      <c r="E4" s="129">
        <v>10</v>
      </c>
      <c r="F4" s="124"/>
      <c r="G4" s="92" t="str">
        <f>HYPERLINK("https://pbs.twimg.com/profile_images/1214626093501538305/VyCT9vZX_normal.jpg")</f>
        <v>https://pbs.twimg.com/profile_images/1214626093501538305/VyCT9vZX_normal.jpg</v>
      </c>
      <c r="H4" s="125"/>
      <c r="I4" s="64" t="str">
        <f>Vertices[[#This Row],[Vertex]]</f>
        <v>reflyhz</v>
      </c>
      <c r="J4" s="126"/>
      <c r="K4" s="126"/>
      <c r="L4" s="130"/>
      <c r="M4" s="127"/>
      <c r="N4" s="131">
        <v>5142.56494140625</v>
      </c>
      <c r="O4" s="131">
        <v>2559.554443359375</v>
      </c>
      <c r="P4" s="132"/>
      <c r="Q4" s="133"/>
      <c r="R4" s="133"/>
      <c r="S4" s="134"/>
      <c r="T4" s="44">
        <v>12</v>
      </c>
      <c r="U4" s="44">
        <v>1</v>
      </c>
      <c r="V4" s="45">
        <v>2876.78843</v>
      </c>
      <c r="W4" s="45">
        <v>0.138101</v>
      </c>
      <c r="X4" s="45">
        <v>0.014123</v>
      </c>
      <c r="Y4" s="45">
        <v>0.008161</v>
      </c>
      <c r="Z4" s="45">
        <v>0</v>
      </c>
      <c r="AA4" s="45">
        <v>0</v>
      </c>
      <c r="AB4" s="135">
        <v>4</v>
      </c>
      <c r="AC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 s="67"/>
      <c r="AE4" t="s">
        <v>1567</v>
      </c>
      <c r="AF4" s="74" t="s">
        <v>1334</v>
      </c>
      <c r="AG4">
        <v>449111</v>
      </c>
      <c r="AH4">
        <v>242</v>
      </c>
      <c r="AI4">
        <v>2093</v>
      </c>
      <c r="AJ4">
        <v>159</v>
      </c>
      <c r="AK4">
        <v>64</v>
      </c>
      <c r="AL4">
        <v>445</v>
      </c>
      <c r="AM4" t="b">
        <v>0</v>
      </c>
      <c r="AN4" s="73">
        <v>40421.326585648145</v>
      </c>
      <c r="AO4" t="s">
        <v>1945</v>
      </c>
      <c r="AP4" t="s">
        <v>2051</v>
      </c>
      <c r="AW4">
        <v>1.51299073645491E+18</v>
      </c>
      <c r="AY4" t="b">
        <v>0</v>
      </c>
      <c r="BB4" t="b">
        <v>0</v>
      </c>
      <c r="BC4" t="b">
        <v>1</v>
      </c>
      <c r="BD4" t="b">
        <v>0</v>
      </c>
      <c r="BE4" t="b">
        <v>0</v>
      </c>
      <c r="BF4" t="b">
        <v>0</v>
      </c>
      <c r="BG4" t="b">
        <v>0</v>
      </c>
      <c r="BH4" t="b">
        <v>0</v>
      </c>
      <c r="BI4" s="76" t="str">
        <f>HYPERLINK("https://pbs.twimg.com/profile_banners/185116088/1578424401")</f>
        <v>https://pbs.twimg.com/profile_banners/185116088/1578424401</v>
      </c>
      <c r="BK4" t="s">
        <v>2343</v>
      </c>
      <c r="BL4" t="b">
        <v>0</v>
      </c>
      <c r="BN4" t="s">
        <v>66</v>
      </c>
      <c r="BO4" t="s">
        <v>2345</v>
      </c>
      <c r="BP4" s="76" t="str">
        <f>HYPERLINK("https://twitter.com/reflyhz")</f>
        <v>https://twitter.com/reflyhz</v>
      </c>
      <c r="BQ4" s="44"/>
      <c r="BR4" s="44"/>
      <c r="BS4" s="44"/>
      <c r="BT4" s="44"/>
      <c r="BU4" s="44"/>
      <c r="BV4" s="44"/>
      <c r="BW4" s="95" t="s">
        <v>3427</v>
      </c>
      <c r="BX4" s="95" t="s">
        <v>3427</v>
      </c>
      <c r="BY4" s="95" t="s">
        <v>3445</v>
      </c>
      <c r="BZ4" s="95" t="s">
        <v>3445</v>
      </c>
      <c r="CA4" s="95">
        <v>0</v>
      </c>
      <c r="CB4" s="98">
        <v>0</v>
      </c>
      <c r="CC4" s="95">
        <v>0</v>
      </c>
      <c r="CD4" s="98">
        <v>0</v>
      </c>
      <c r="CE4" s="95">
        <v>0</v>
      </c>
      <c r="CF4" s="98">
        <v>0</v>
      </c>
      <c r="CG4" s="95">
        <v>17</v>
      </c>
      <c r="CH4" s="98">
        <v>100</v>
      </c>
      <c r="CI4" s="95">
        <v>17</v>
      </c>
      <c r="CJ4" s="116" t="str">
        <f>REPLACE(INDEX(GroupVertices[Group],MATCH("~"&amp;Vertices[[#This Row],[Vertex]],GroupVertices[Vertex],0)),1,1,"")</f>
        <v>9</v>
      </c>
      <c r="CK4" s="95"/>
      <c r="CL4" s="95"/>
      <c r="CM4" s="95"/>
      <c r="CN4" s="95"/>
      <c r="CO4" s="2"/>
    </row>
    <row r="5" spans="1:93" ht="41.45" customHeight="1">
      <c r="A5" s="59" t="s">
        <v>334</v>
      </c>
      <c r="C5" s="60"/>
      <c r="D5" s="60" t="s">
        <v>64</v>
      </c>
      <c r="E5" s="61">
        <v>10</v>
      </c>
      <c r="F5" s="63"/>
      <c r="G5" s="92" t="str">
        <f>HYPERLINK("https://pbs.twimg.com/profile_images/1201299092376129536/YU9oL9TW_normal.jpg")</f>
        <v>https://pbs.twimg.com/profile_images/1201299092376129536/YU9oL9TW_normal.jpg</v>
      </c>
      <c r="H5" s="60"/>
      <c r="I5" s="64" t="str">
        <f>Vertices[[#This Row],[Vertex]]</f>
        <v>msaid_didu</v>
      </c>
      <c r="J5" s="65"/>
      <c r="K5" s="65"/>
      <c r="L5" s="64"/>
      <c r="M5" s="68"/>
      <c r="N5" s="69">
        <v>3551.54150390625</v>
      </c>
      <c r="O5" s="69">
        <v>8196.263671875</v>
      </c>
      <c r="P5" s="70"/>
      <c r="Q5" s="71"/>
      <c r="R5" s="71"/>
      <c r="S5" s="78"/>
      <c r="T5" s="44">
        <v>8</v>
      </c>
      <c r="U5" s="44">
        <v>1</v>
      </c>
      <c r="V5" s="45">
        <v>2048.3915</v>
      </c>
      <c r="W5" s="45">
        <v>0.150969</v>
      </c>
      <c r="X5" s="45">
        <v>0.007323</v>
      </c>
      <c r="Y5" s="45">
        <v>0.005639</v>
      </c>
      <c r="Z5" s="45">
        <v>0</v>
      </c>
      <c r="AA5" s="45">
        <v>0</v>
      </c>
      <c r="AB5" s="66">
        <v>5</v>
      </c>
      <c r="AC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 s="67"/>
      <c r="AE5" t="s">
        <v>1551</v>
      </c>
      <c r="AF5" s="74" t="s">
        <v>1327</v>
      </c>
      <c r="AG5">
        <v>748330</v>
      </c>
      <c r="AH5">
        <v>830</v>
      </c>
      <c r="AI5">
        <v>142615</v>
      </c>
      <c r="AJ5">
        <v>186</v>
      </c>
      <c r="AK5">
        <v>9471</v>
      </c>
      <c r="AL5">
        <v>4229</v>
      </c>
      <c r="AM5" t="b">
        <v>0</v>
      </c>
      <c r="AN5" s="73">
        <v>43571.13681712963</v>
      </c>
      <c r="AP5" t="s">
        <v>2036</v>
      </c>
      <c r="AW5">
        <v>1.72913334476255E+18</v>
      </c>
      <c r="AY5" t="b">
        <v>0</v>
      </c>
      <c r="BB5" t="b">
        <v>1</v>
      </c>
      <c r="BC5" t="b">
        <v>1</v>
      </c>
      <c r="BD5" t="b">
        <v>1</v>
      </c>
      <c r="BE5" t="b">
        <v>0</v>
      </c>
      <c r="BF5" t="b">
        <v>1</v>
      </c>
      <c r="BG5" t="b">
        <v>0</v>
      </c>
      <c r="BH5" t="b">
        <v>0</v>
      </c>
      <c r="BI5" s="76" t="str">
        <f>HYPERLINK("https://pbs.twimg.com/profile_banners/1117990249806721024/1560173238")</f>
        <v>https://pbs.twimg.com/profile_banners/1117990249806721024/1560173238</v>
      </c>
      <c r="BK5" t="s">
        <v>2343</v>
      </c>
      <c r="BL5" t="b">
        <v>0</v>
      </c>
      <c r="BN5" t="s">
        <v>66</v>
      </c>
      <c r="BO5" t="s">
        <v>2345</v>
      </c>
      <c r="BP5" s="76" t="str">
        <f>HYPERLINK("https://twitter.com/msaid_didu")</f>
        <v>https://twitter.com/msaid_didu</v>
      </c>
      <c r="BQ5" s="44"/>
      <c r="BR5" s="44"/>
      <c r="BS5" s="44"/>
      <c r="BT5" s="44"/>
      <c r="BU5" s="44"/>
      <c r="BV5" s="44"/>
      <c r="BW5" s="95" t="s">
        <v>2431</v>
      </c>
      <c r="BX5" s="95" t="s">
        <v>2431</v>
      </c>
      <c r="BY5" s="95" t="s">
        <v>2487</v>
      </c>
      <c r="BZ5" s="95" t="s">
        <v>2487</v>
      </c>
      <c r="CA5" s="95">
        <v>2</v>
      </c>
      <c r="CB5" s="98">
        <v>4.761904761904762</v>
      </c>
      <c r="CC5" s="95">
        <v>2</v>
      </c>
      <c r="CD5" s="98">
        <v>4.761904761904762</v>
      </c>
      <c r="CE5" s="95">
        <v>0</v>
      </c>
      <c r="CF5" s="98">
        <v>0</v>
      </c>
      <c r="CG5" s="95">
        <v>38</v>
      </c>
      <c r="CH5" s="98">
        <v>90.47619047619048</v>
      </c>
      <c r="CI5" s="95">
        <v>42</v>
      </c>
      <c r="CJ5" s="116" t="str">
        <f>REPLACE(INDEX(GroupVertices[Group],MATCH("~"&amp;Vertices[[#This Row],[Vertex]],GroupVertices[Vertex],0)),1,1,"")</f>
        <v>4</v>
      </c>
      <c r="CK5" s="95"/>
      <c r="CL5" s="95"/>
      <c r="CM5" s="95"/>
      <c r="CN5" s="95"/>
      <c r="CO5" s="2"/>
    </row>
    <row r="6" spans="1:93" ht="41.45" customHeight="1">
      <c r="A6" s="59" t="s">
        <v>314</v>
      </c>
      <c r="C6" s="60"/>
      <c r="D6" s="60" t="s">
        <v>64</v>
      </c>
      <c r="E6" s="61">
        <v>10</v>
      </c>
      <c r="F6" s="63"/>
      <c r="G6" s="92" t="str">
        <f>HYPERLINK("https://pbs.twimg.com/profile_images/1238029886066851841/eqxRguVj_normal.jpg")</f>
        <v>https://pbs.twimg.com/profile_images/1238029886066851841/eqxRguVj_normal.jpg</v>
      </c>
      <c r="H6" s="60"/>
      <c r="I6" s="64" t="str">
        <f>Vertices[[#This Row],[Vertex]]</f>
        <v>oposisicerdas</v>
      </c>
      <c r="J6" s="65"/>
      <c r="K6" s="65"/>
      <c r="L6" s="64"/>
      <c r="M6" s="68"/>
      <c r="N6" s="69">
        <v>6098.58349609375</v>
      </c>
      <c r="O6" s="69">
        <v>4868.048828125</v>
      </c>
      <c r="P6" s="70"/>
      <c r="Q6" s="71"/>
      <c r="R6" s="71"/>
      <c r="S6" s="78"/>
      <c r="T6" s="44">
        <v>8</v>
      </c>
      <c r="U6" s="44">
        <v>1</v>
      </c>
      <c r="V6" s="45">
        <v>2498.877056</v>
      </c>
      <c r="W6" s="45">
        <v>0.147773</v>
      </c>
      <c r="X6" s="45">
        <v>0.006462</v>
      </c>
      <c r="Y6" s="45">
        <v>0.00515</v>
      </c>
      <c r="Z6" s="45">
        <v>0</v>
      </c>
      <c r="AA6" s="45">
        <v>0</v>
      </c>
      <c r="AB6" s="66">
        <v>6</v>
      </c>
      <c r="AC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 s="67"/>
      <c r="AE6" t="s">
        <v>1582</v>
      </c>
      <c r="AF6" s="74" t="s">
        <v>1341</v>
      </c>
      <c r="AG6">
        <v>249803</v>
      </c>
      <c r="AH6">
        <v>148</v>
      </c>
      <c r="AI6">
        <v>114431</v>
      </c>
      <c r="AJ6">
        <v>90</v>
      </c>
      <c r="AK6">
        <v>188</v>
      </c>
      <c r="AL6">
        <v>0</v>
      </c>
      <c r="AM6" t="b">
        <v>0</v>
      </c>
      <c r="AN6" s="73">
        <v>42935.77707175926</v>
      </c>
      <c r="AP6" t="s">
        <v>2064</v>
      </c>
      <c r="AQ6" s="76" t="str">
        <f>HYPERLINK("https://t.co/J9wwe5g2UP")</f>
        <v>https://t.co/J9wwe5g2UP</v>
      </c>
      <c r="AR6" s="76" t="str">
        <f>HYPERLINK("http://www.oposisicerdas.com")</f>
        <v>http://www.oposisicerdas.com</v>
      </c>
      <c r="AS6" t="s">
        <v>718</v>
      </c>
      <c r="AW6">
        <v>1.72889937974104E+18</v>
      </c>
      <c r="AX6" s="76" t="str">
        <f>HYPERLINK("https://t.co/J9wwe5g2UP")</f>
        <v>https://t.co/J9wwe5g2UP</v>
      </c>
      <c r="AY6" t="b">
        <v>0</v>
      </c>
      <c r="BB6" t="b">
        <v>0</v>
      </c>
      <c r="BC6" t="b">
        <v>1</v>
      </c>
      <c r="BD6" t="b">
        <v>0</v>
      </c>
      <c r="BE6" t="b">
        <v>0</v>
      </c>
      <c r="BF6" t="b">
        <v>1</v>
      </c>
      <c r="BG6" t="b">
        <v>0</v>
      </c>
      <c r="BH6" t="b">
        <v>0</v>
      </c>
      <c r="BI6" s="76" t="str">
        <f>HYPERLINK("https://pbs.twimg.com/profile_banners/887743587579944960/1614764747")</f>
        <v>https://pbs.twimg.com/profile_banners/887743587579944960/1614764747</v>
      </c>
      <c r="BK6" t="s">
        <v>2343</v>
      </c>
      <c r="BL6" t="b">
        <v>0</v>
      </c>
      <c r="BN6" t="s">
        <v>66</v>
      </c>
      <c r="BO6" t="s">
        <v>2345</v>
      </c>
      <c r="BP6" s="76" t="str">
        <f>HYPERLINK("https://twitter.com/oposisicerdas")</f>
        <v>https://twitter.com/oposisicerdas</v>
      </c>
      <c r="BQ6" s="44" t="s">
        <v>3254</v>
      </c>
      <c r="BR6" s="44" t="s">
        <v>3254</v>
      </c>
      <c r="BS6" s="44" t="s">
        <v>718</v>
      </c>
      <c r="BT6" s="44" t="s">
        <v>718</v>
      </c>
      <c r="BU6" s="44"/>
      <c r="BV6" s="44"/>
      <c r="BW6" s="95" t="s">
        <v>11411</v>
      </c>
      <c r="BX6" s="95" t="s">
        <v>11411</v>
      </c>
      <c r="BY6" s="95" t="s">
        <v>3448</v>
      </c>
      <c r="BZ6" s="95" t="s">
        <v>3448</v>
      </c>
      <c r="CA6" s="95">
        <v>3</v>
      </c>
      <c r="CB6" s="98">
        <v>14.285714285714286</v>
      </c>
      <c r="CC6" s="95">
        <v>0</v>
      </c>
      <c r="CD6" s="98">
        <v>0</v>
      </c>
      <c r="CE6" s="95">
        <v>0</v>
      </c>
      <c r="CF6" s="98">
        <v>0</v>
      </c>
      <c r="CG6" s="95">
        <v>17</v>
      </c>
      <c r="CH6" s="98">
        <v>80.95238095238095</v>
      </c>
      <c r="CI6" s="95">
        <v>21</v>
      </c>
      <c r="CJ6" s="116" t="str">
        <f>REPLACE(INDEX(GroupVertices[Group],MATCH("~"&amp;Vertices[[#This Row],[Vertex]],GroupVertices[Vertex],0)),1,1,"")</f>
        <v>11</v>
      </c>
      <c r="CK6" s="95" t="s">
        <v>3254</v>
      </c>
      <c r="CL6" s="95" t="s">
        <v>3254</v>
      </c>
      <c r="CM6" s="95"/>
      <c r="CN6" s="95"/>
      <c r="CO6" s="2"/>
    </row>
    <row r="7" spans="1:93" ht="41.45" customHeight="1">
      <c r="A7" s="59" t="s">
        <v>268</v>
      </c>
      <c r="C7" s="60"/>
      <c r="D7" s="60" t="s">
        <v>64</v>
      </c>
      <c r="E7" s="61">
        <v>10</v>
      </c>
      <c r="F7" s="63"/>
      <c r="G7" s="92" t="str">
        <f>HYPERLINK("https://pbs.twimg.com/profile_images/566077214081290240/NQje2pzu_normal.jpeg")</f>
        <v>https://pbs.twimg.com/profile_images/566077214081290240/NQje2pzu_normal.jpeg</v>
      </c>
      <c r="H7" s="60"/>
      <c r="I7" s="64" t="str">
        <f>Vertices[[#This Row],[Vertex]]</f>
        <v>ramlirizal</v>
      </c>
      <c r="J7" s="65"/>
      <c r="K7" s="65"/>
      <c r="L7" s="64"/>
      <c r="M7" s="68"/>
      <c r="N7" s="69">
        <v>6984.65673828125</v>
      </c>
      <c r="O7" s="69">
        <v>8015.28369140625</v>
      </c>
      <c r="P7" s="70"/>
      <c r="Q7" s="71"/>
      <c r="R7" s="71"/>
      <c r="S7" s="78"/>
      <c r="T7" s="44">
        <v>8</v>
      </c>
      <c r="U7" s="44">
        <v>2</v>
      </c>
      <c r="V7" s="45">
        <v>1903.456625</v>
      </c>
      <c r="W7" s="45">
        <v>0.141328</v>
      </c>
      <c r="X7" s="45">
        <v>0.018868</v>
      </c>
      <c r="Y7" s="45">
        <v>0.005594</v>
      </c>
      <c r="Z7" s="45">
        <v>0.017857142857142856</v>
      </c>
      <c r="AA7" s="45">
        <v>0</v>
      </c>
      <c r="AB7" s="66">
        <v>7</v>
      </c>
      <c r="AC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 s="67"/>
      <c r="AE7" t="s">
        <v>1614</v>
      </c>
      <c r="AF7" s="74" t="s">
        <v>1352</v>
      </c>
      <c r="AG7">
        <v>1106969</v>
      </c>
      <c r="AH7">
        <v>58</v>
      </c>
      <c r="AI7">
        <v>55730</v>
      </c>
      <c r="AJ7">
        <v>354</v>
      </c>
      <c r="AK7">
        <v>4857</v>
      </c>
      <c r="AL7">
        <v>5558</v>
      </c>
      <c r="AM7" t="b">
        <v>0</v>
      </c>
      <c r="AN7" s="73">
        <v>40910.55740740741</v>
      </c>
      <c r="AP7" t="s">
        <v>2091</v>
      </c>
      <c r="AQ7" s="76" t="str">
        <f>HYPERLINK("https://t.co/26tgEfpyta")</f>
        <v>https://t.co/26tgEfpyta</v>
      </c>
      <c r="AR7" s="76" t="str">
        <f>HYPERLINK("https://linktr.ee/rizalramli.official")</f>
        <v>https://linktr.ee/rizalramli.official</v>
      </c>
      <c r="AS7" t="s">
        <v>2280</v>
      </c>
      <c r="AW7">
        <v>1.72202788589917E+18</v>
      </c>
      <c r="AX7" s="76" t="str">
        <f>HYPERLINK("https://t.co/26tgEfpyta")</f>
        <v>https://t.co/26tgEfpyta</v>
      </c>
      <c r="AY7" t="b">
        <v>1</v>
      </c>
      <c r="BA7" t="b">
        <v>1</v>
      </c>
      <c r="BB7" t="b">
        <v>0</v>
      </c>
      <c r="BC7" t="b">
        <v>0</v>
      </c>
      <c r="BD7" t="b">
        <v>1</v>
      </c>
      <c r="BE7" t="b">
        <v>0</v>
      </c>
      <c r="BF7" t="b">
        <v>1</v>
      </c>
      <c r="BG7" t="b">
        <v>0</v>
      </c>
      <c r="BH7" t="b">
        <v>0</v>
      </c>
      <c r="BI7" s="76" t="str">
        <f>HYPERLINK("https://pbs.twimg.com/profile_banners/452992293/1631078881")</f>
        <v>https://pbs.twimg.com/profile_banners/452992293/1631078881</v>
      </c>
      <c r="BK7" t="s">
        <v>2343</v>
      </c>
      <c r="BL7" t="b">
        <v>1</v>
      </c>
      <c r="BN7" t="s">
        <v>66</v>
      </c>
      <c r="BO7" t="s">
        <v>2345</v>
      </c>
      <c r="BP7" s="76" t="str">
        <f>HYPERLINK("https://twitter.com/ramlirizal")</f>
        <v>https://twitter.com/ramlirizal</v>
      </c>
      <c r="BQ7" s="44" t="s">
        <v>2356</v>
      </c>
      <c r="BR7" s="44" t="s">
        <v>2356</v>
      </c>
      <c r="BS7" s="44" t="s">
        <v>714</v>
      </c>
      <c r="BT7" s="44" t="s">
        <v>714</v>
      </c>
      <c r="BU7" s="44"/>
      <c r="BV7" s="44"/>
      <c r="BW7" s="95" t="s">
        <v>11412</v>
      </c>
      <c r="BX7" s="95" t="s">
        <v>11472</v>
      </c>
      <c r="BY7" s="95" t="s">
        <v>3450</v>
      </c>
      <c r="BZ7" s="95" t="s">
        <v>3450</v>
      </c>
      <c r="CA7" s="95">
        <v>5</v>
      </c>
      <c r="CB7" s="98">
        <v>6.410256410256411</v>
      </c>
      <c r="CC7" s="95">
        <v>1</v>
      </c>
      <c r="CD7" s="98">
        <v>1.2820512820512822</v>
      </c>
      <c r="CE7" s="95">
        <v>0</v>
      </c>
      <c r="CF7" s="98">
        <v>0</v>
      </c>
      <c r="CG7" s="95">
        <v>72</v>
      </c>
      <c r="CH7" s="98">
        <v>92.3076923076923</v>
      </c>
      <c r="CI7" s="95">
        <v>78</v>
      </c>
      <c r="CJ7" s="116" t="str">
        <f>REPLACE(INDEX(GroupVertices[Group],MATCH("~"&amp;Vertices[[#This Row],[Vertex]],GroupVertices[Vertex],0)),1,1,"")</f>
        <v>13</v>
      </c>
      <c r="CK7" s="95" t="s">
        <v>2356</v>
      </c>
      <c r="CL7" s="95" t="s">
        <v>2356</v>
      </c>
      <c r="CM7" s="95"/>
      <c r="CN7" s="95"/>
      <c r="CO7" s="2"/>
    </row>
    <row r="8" spans="1:93" ht="41.45" customHeight="1">
      <c r="A8" s="59" t="s">
        <v>328</v>
      </c>
      <c r="C8" s="60"/>
      <c r="D8" s="60" t="s">
        <v>64</v>
      </c>
      <c r="E8" s="61">
        <v>10</v>
      </c>
      <c r="F8" s="63"/>
      <c r="G8" s="92" t="str">
        <f>HYPERLINK("https://pbs.twimg.com/profile_images/1480783321609113600/9C8OVc7R_normal.png")</f>
        <v>https://pbs.twimg.com/profile_images/1480783321609113600/9C8OVc7R_normal.png</v>
      </c>
      <c r="H8" s="60"/>
      <c r="I8" s="64" t="str">
        <f>Vertices[[#This Row],[Vertex]]</f>
        <v>democrazymedia</v>
      </c>
      <c r="J8" s="65"/>
      <c r="K8" s="65"/>
      <c r="L8" s="64"/>
      <c r="M8" s="68"/>
      <c r="N8" s="69">
        <v>7701.02880859375</v>
      </c>
      <c r="O8" s="69">
        <v>5947.1806640625</v>
      </c>
      <c r="P8" s="70"/>
      <c r="Q8" s="71"/>
      <c r="R8" s="71"/>
      <c r="S8" s="78"/>
      <c r="T8" s="44">
        <v>6</v>
      </c>
      <c r="U8" s="44">
        <v>1</v>
      </c>
      <c r="V8" s="45">
        <v>9471.785633</v>
      </c>
      <c r="W8" s="45">
        <v>0.173485</v>
      </c>
      <c r="X8" s="45">
        <v>0.030778</v>
      </c>
      <c r="Y8" s="45">
        <v>0.004454</v>
      </c>
      <c r="Z8" s="45">
        <v>0</v>
      </c>
      <c r="AA8" s="45">
        <v>0</v>
      </c>
      <c r="AB8" s="66">
        <v>8</v>
      </c>
      <c r="AC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 s="67"/>
      <c r="AE8" t="s">
        <v>1546</v>
      </c>
      <c r="AF8" s="74" t="s">
        <v>1318</v>
      </c>
      <c r="AG8">
        <v>91679</v>
      </c>
      <c r="AH8">
        <v>222</v>
      </c>
      <c r="AI8">
        <v>57180</v>
      </c>
      <c r="AJ8">
        <v>50</v>
      </c>
      <c r="AK8">
        <v>16934</v>
      </c>
      <c r="AL8">
        <v>0</v>
      </c>
      <c r="AM8" t="b">
        <v>0</v>
      </c>
      <c r="AN8" s="73">
        <v>43918.317928240744</v>
      </c>
      <c r="AO8" t="s">
        <v>996</v>
      </c>
      <c r="AP8" t="s">
        <v>2032</v>
      </c>
      <c r="AQ8" s="76" t="str">
        <f>HYPERLINK("https://t.co/hTD012jWAe")</f>
        <v>https://t.co/hTD012jWAe</v>
      </c>
      <c r="AR8" s="76" t="str">
        <f>HYPERLINK("http://www.democrazy.id")</f>
        <v>http://www.democrazy.id</v>
      </c>
      <c r="AS8" t="s">
        <v>719</v>
      </c>
      <c r="AT8" s="76" t="str">
        <f>HYPERLINK("https://t.co/SLLjzRdpeC")</f>
        <v>https://t.co/SLLjzRdpeC</v>
      </c>
      <c r="AU8" s="76" t="str">
        <f>HYPERLINK("http://DEMOCRAZY.ID")</f>
        <v>http://DEMOCRAZY.ID</v>
      </c>
      <c r="AV8" t="s">
        <v>2335</v>
      </c>
      <c r="AW8">
        <v>1.72898574891576E+18</v>
      </c>
      <c r="AX8" s="76" t="str">
        <f>HYPERLINK("https://t.co/hTD012jWAe")</f>
        <v>https://t.co/hTD012jWAe</v>
      </c>
      <c r="AY8" t="b">
        <v>1</v>
      </c>
      <c r="BB8" t="b">
        <v>0</v>
      </c>
      <c r="BC8" t="b">
        <v>1</v>
      </c>
      <c r="BD8" t="b">
        <v>1</v>
      </c>
      <c r="BE8" t="b">
        <v>0</v>
      </c>
      <c r="BF8" t="b">
        <v>0</v>
      </c>
      <c r="BG8" t="b">
        <v>0</v>
      </c>
      <c r="BH8" t="b">
        <v>0</v>
      </c>
      <c r="BI8" s="76" t="str">
        <f>HYPERLINK("https://pbs.twimg.com/profile_banners/1243804423001763841/1625856345")</f>
        <v>https://pbs.twimg.com/profile_banners/1243804423001763841/1625856345</v>
      </c>
      <c r="BK8" t="s">
        <v>2343</v>
      </c>
      <c r="BL8" t="b">
        <v>0</v>
      </c>
      <c r="BN8" t="s">
        <v>66</v>
      </c>
      <c r="BO8" t="s">
        <v>2345</v>
      </c>
      <c r="BP8" s="76" t="str">
        <f>HYPERLINK("https://twitter.com/democrazymedia")</f>
        <v>https://twitter.com/democrazymedia</v>
      </c>
      <c r="BQ8" s="44" t="s">
        <v>3237</v>
      </c>
      <c r="BR8" s="44" t="s">
        <v>3237</v>
      </c>
      <c r="BS8" s="44" t="s">
        <v>719</v>
      </c>
      <c r="BT8" s="44" t="s">
        <v>719</v>
      </c>
      <c r="BU8" s="44"/>
      <c r="BV8" s="44"/>
      <c r="BW8" s="95" t="s">
        <v>3424</v>
      </c>
      <c r="BX8" s="95" t="s">
        <v>3424</v>
      </c>
      <c r="BY8" s="95" t="s">
        <v>3442</v>
      </c>
      <c r="BZ8" s="95" t="s">
        <v>3442</v>
      </c>
      <c r="CA8" s="95">
        <v>0</v>
      </c>
      <c r="CB8" s="98">
        <v>0</v>
      </c>
      <c r="CC8" s="95">
        <v>0</v>
      </c>
      <c r="CD8" s="98">
        <v>0</v>
      </c>
      <c r="CE8" s="95">
        <v>0</v>
      </c>
      <c r="CF8" s="98">
        <v>0</v>
      </c>
      <c r="CG8" s="95">
        <v>14</v>
      </c>
      <c r="CH8" s="98">
        <v>100</v>
      </c>
      <c r="CI8" s="95">
        <v>14</v>
      </c>
      <c r="CJ8" s="116" t="str">
        <f>REPLACE(INDEX(GroupVertices[Group],MATCH("~"&amp;Vertices[[#This Row],[Vertex]],GroupVertices[Vertex],0)),1,1,"")</f>
        <v>19</v>
      </c>
      <c r="CK8" s="95" t="s">
        <v>3237</v>
      </c>
      <c r="CL8" s="95" t="s">
        <v>3237</v>
      </c>
      <c r="CM8" s="95"/>
      <c r="CN8" s="95"/>
      <c r="CO8" s="2"/>
    </row>
    <row r="9" spans="1:93" ht="41.45" customHeight="1">
      <c r="A9" s="59" t="s">
        <v>339</v>
      </c>
      <c r="C9" s="60"/>
      <c r="D9" s="60" t="s">
        <v>64</v>
      </c>
      <c r="E9" s="61">
        <v>10</v>
      </c>
      <c r="F9" s="63"/>
      <c r="G9" s="92" t="str">
        <f>HYPERLINK("https://pbs.twimg.com/profile_images/1354095189636210690/SbdpXIAi_normal.jpg")</f>
        <v>https://pbs.twimg.com/profile_images/1354095189636210690/SbdpXIAi_normal.jpg</v>
      </c>
      <c r="H9" s="60"/>
      <c r="I9" s="64" t="str">
        <f>Vertices[[#This Row],[Vertex]]</f>
        <v>geloraco</v>
      </c>
      <c r="J9" s="65"/>
      <c r="K9" s="65"/>
      <c r="L9" s="64"/>
      <c r="M9" s="68"/>
      <c r="N9" s="69">
        <v>6178.13525390625</v>
      </c>
      <c r="O9" s="69">
        <v>8266.0419921875</v>
      </c>
      <c r="P9" s="70"/>
      <c r="Q9" s="71"/>
      <c r="R9" s="71"/>
      <c r="S9" s="78"/>
      <c r="T9" s="44">
        <v>5</v>
      </c>
      <c r="U9" s="44">
        <v>1</v>
      </c>
      <c r="V9" s="45">
        <v>1184.202965</v>
      </c>
      <c r="W9" s="45">
        <v>0.148014</v>
      </c>
      <c r="X9" s="45">
        <v>0.007125</v>
      </c>
      <c r="Y9" s="45">
        <v>0.004395</v>
      </c>
      <c r="Z9" s="45">
        <v>0</v>
      </c>
      <c r="AA9" s="45">
        <v>0</v>
      </c>
      <c r="AB9" s="66">
        <v>9</v>
      </c>
      <c r="AC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 s="67"/>
      <c r="AE9" t="s">
        <v>1556</v>
      </c>
      <c r="AF9" s="74" t="s">
        <v>1324</v>
      </c>
      <c r="AG9">
        <v>557747</v>
      </c>
      <c r="AH9">
        <v>2784</v>
      </c>
      <c r="AI9">
        <v>243444</v>
      </c>
      <c r="AJ9">
        <v>239</v>
      </c>
      <c r="AK9">
        <v>54227</v>
      </c>
      <c r="AL9">
        <v>27231</v>
      </c>
      <c r="AM9" t="b">
        <v>0</v>
      </c>
      <c r="AN9" s="73">
        <v>42234.93375</v>
      </c>
      <c r="AO9" t="s">
        <v>996</v>
      </c>
      <c r="AP9" t="s">
        <v>2041</v>
      </c>
      <c r="AQ9" s="76" t="str">
        <f>HYPERLINK("https://t.co/PCELYs8lf0")</f>
        <v>https://t.co/PCELYs8lf0</v>
      </c>
      <c r="AR9" s="76" t="str">
        <f>HYPERLINK("https://www.gelora.co")</f>
        <v>https://www.gelora.co</v>
      </c>
      <c r="AS9" t="s">
        <v>724</v>
      </c>
      <c r="AT9" s="76" t="str">
        <f>HYPERLINK("https://t.co/fks0ef5rxA")</f>
        <v>https://t.co/fks0ef5rxA</v>
      </c>
      <c r="AU9" s="76" t="str">
        <f>HYPERLINK("http://wa.me/6281319450880")</f>
        <v>http://wa.me/6281319450880</v>
      </c>
      <c r="AV9" t="s">
        <v>2337</v>
      </c>
      <c r="AW9">
        <v>1.72956472884479E+18</v>
      </c>
      <c r="AX9" s="76" t="str">
        <f>HYPERLINK("https://t.co/PCELYs8lf0")</f>
        <v>https://t.co/PCELYs8lf0</v>
      </c>
      <c r="AY9" t="b">
        <v>1</v>
      </c>
      <c r="BB9" t="b">
        <v>1</v>
      </c>
      <c r="BC9" t="b">
        <v>1</v>
      </c>
      <c r="BD9" t="b">
        <v>0</v>
      </c>
      <c r="BE9" t="b">
        <v>0</v>
      </c>
      <c r="BF9" t="b">
        <v>1</v>
      </c>
      <c r="BG9" t="b">
        <v>0</v>
      </c>
      <c r="BH9" t="b">
        <v>0</v>
      </c>
      <c r="BI9" s="76" t="str">
        <f>HYPERLINK("https://pbs.twimg.com/profile_banners/3319260420/1615460507")</f>
        <v>https://pbs.twimg.com/profile_banners/3319260420/1615460507</v>
      </c>
      <c r="BK9" t="s">
        <v>2343</v>
      </c>
      <c r="BL9" t="b">
        <v>0</v>
      </c>
      <c r="BN9" t="s">
        <v>66</v>
      </c>
      <c r="BO9" t="s">
        <v>2345</v>
      </c>
      <c r="BP9" s="76" t="str">
        <f>HYPERLINK("https://twitter.com/geloraco")</f>
        <v>https://twitter.com/geloraco</v>
      </c>
      <c r="BQ9" s="44" t="s">
        <v>3242</v>
      </c>
      <c r="BR9" s="44" t="s">
        <v>3242</v>
      </c>
      <c r="BS9" s="44" t="s">
        <v>724</v>
      </c>
      <c r="BT9" s="44" t="s">
        <v>724</v>
      </c>
      <c r="BU9" s="44"/>
      <c r="BV9" s="44"/>
      <c r="BW9" s="95" t="s">
        <v>3425</v>
      </c>
      <c r="BX9" s="95" t="s">
        <v>3425</v>
      </c>
      <c r="BY9" s="95" t="s">
        <v>3443</v>
      </c>
      <c r="BZ9" s="95" t="s">
        <v>3443</v>
      </c>
      <c r="CA9" s="95">
        <v>0</v>
      </c>
      <c r="CB9" s="98">
        <v>0</v>
      </c>
      <c r="CC9" s="95">
        <v>0</v>
      </c>
      <c r="CD9" s="98">
        <v>0</v>
      </c>
      <c r="CE9" s="95">
        <v>0</v>
      </c>
      <c r="CF9" s="98">
        <v>0</v>
      </c>
      <c r="CG9" s="95">
        <v>15</v>
      </c>
      <c r="CH9" s="98">
        <v>100</v>
      </c>
      <c r="CI9" s="95">
        <v>15</v>
      </c>
      <c r="CJ9" s="116" t="str">
        <f>REPLACE(INDEX(GroupVertices[Group],MATCH("~"&amp;Vertices[[#This Row],[Vertex]],GroupVertices[Vertex],0)),1,1,"")</f>
        <v>12</v>
      </c>
      <c r="CK9" s="95" t="s">
        <v>3242</v>
      </c>
      <c r="CL9" s="95" t="s">
        <v>3242</v>
      </c>
      <c r="CM9" s="95"/>
      <c r="CN9" s="95"/>
      <c r="CO9" s="2"/>
    </row>
    <row r="10" spans="1:93" ht="41.45" customHeight="1">
      <c r="A10" s="59" t="s">
        <v>338</v>
      </c>
      <c r="C10" s="60"/>
      <c r="D10" s="60" t="s">
        <v>64</v>
      </c>
      <c r="E10" s="61">
        <v>10</v>
      </c>
      <c r="F10" s="63"/>
      <c r="G10" s="92" t="str">
        <f>HYPERLINK("https://pbs.twimg.com/profile_images/1430381487078055943/WK_pywoN_normal.jpg")</f>
        <v>https://pbs.twimg.com/profile_images/1430381487078055943/WK_pywoN_normal.jpg</v>
      </c>
      <c r="H10" s="60"/>
      <c r="I10" s="64" t="str">
        <f>Vertices[[#This Row],[Vertex]]</f>
        <v>geiszchalifah</v>
      </c>
      <c r="J10" s="65"/>
      <c r="K10" s="65"/>
      <c r="L10" s="64"/>
      <c r="M10" s="68"/>
      <c r="N10" s="69">
        <v>4300.42578125</v>
      </c>
      <c r="O10" s="69">
        <v>3016.87353515625</v>
      </c>
      <c r="P10" s="70"/>
      <c r="Q10" s="71"/>
      <c r="R10" s="71"/>
      <c r="S10" s="78"/>
      <c r="T10" s="44">
        <v>4</v>
      </c>
      <c r="U10" s="44">
        <v>1</v>
      </c>
      <c r="V10" s="45">
        <v>1199.334037</v>
      </c>
      <c r="W10" s="45">
        <v>0.15563</v>
      </c>
      <c r="X10" s="45">
        <v>0.007887</v>
      </c>
      <c r="Y10" s="45">
        <v>0.003737</v>
      </c>
      <c r="Z10" s="45">
        <v>0</v>
      </c>
      <c r="AA10" s="45">
        <v>0</v>
      </c>
      <c r="AB10" s="66">
        <v>10</v>
      </c>
      <c r="AC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 s="67"/>
      <c r="AE10" t="s">
        <v>1547</v>
      </c>
      <c r="AF10" s="74" t="s">
        <v>1320</v>
      </c>
      <c r="AG10">
        <v>226404</v>
      </c>
      <c r="AH10">
        <v>305</v>
      </c>
      <c r="AI10">
        <v>10125</v>
      </c>
      <c r="AJ10">
        <v>55</v>
      </c>
      <c r="AK10">
        <v>115192</v>
      </c>
      <c r="AL10">
        <v>3162</v>
      </c>
      <c r="AM10" t="b">
        <v>0</v>
      </c>
      <c r="AN10" s="73">
        <v>44066.51903935185</v>
      </c>
      <c r="AP10" t="s">
        <v>2033</v>
      </c>
      <c r="AT10" t="s">
        <v>2328</v>
      </c>
      <c r="AU10" t="s">
        <v>2331</v>
      </c>
      <c r="AV10" t="s">
        <v>2336</v>
      </c>
      <c r="AY10" t="b">
        <v>0</v>
      </c>
      <c r="BB10" t="b">
        <v>0</v>
      </c>
      <c r="BC10" t="b">
        <v>0</v>
      </c>
      <c r="BD10" t="b">
        <v>1</v>
      </c>
      <c r="BE10" t="b">
        <v>0</v>
      </c>
      <c r="BF10" t="b">
        <v>0</v>
      </c>
      <c r="BG10" t="b">
        <v>0</v>
      </c>
      <c r="BH10" t="b">
        <v>0</v>
      </c>
      <c r="BI10" s="76" t="str">
        <f>HYPERLINK("https://pbs.twimg.com/profile_banners/1297510664148103168/1626527607")</f>
        <v>https://pbs.twimg.com/profile_banners/1297510664148103168/1626527607</v>
      </c>
      <c r="BK10" t="s">
        <v>2343</v>
      </c>
      <c r="BL10" t="b">
        <v>0</v>
      </c>
      <c r="BN10" t="s">
        <v>66</v>
      </c>
      <c r="BO10" t="s">
        <v>2345</v>
      </c>
      <c r="BP10" s="76" t="str">
        <f>HYPERLINK("https://twitter.com/geiszchalifah")</f>
        <v>https://twitter.com/geiszchalifah</v>
      </c>
      <c r="BQ10" s="44" t="s">
        <v>2405</v>
      </c>
      <c r="BR10" s="44" t="s">
        <v>2405</v>
      </c>
      <c r="BS10" s="44" t="s">
        <v>717</v>
      </c>
      <c r="BT10" s="44" t="s">
        <v>717</v>
      </c>
      <c r="BU10" s="44"/>
      <c r="BV10" s="44"/>
      <c r="BW10" s="95" t="s">
        <v>2429</v>
      </c>
      <c r="BX10" s="95" t="s">
        <v>2429</v>
      </c>
      <c r="BY10" s="95" t="s">
        <v>2484</v>
      </c>
      <c r="BZ10" s="95" t="s">
        <v>2484</v>
      </c>
      <c r="CA10" s="95">
        <v>2</v>
      </c>
      <c r="CB10" s="98">
        <v>4.878048780487805</v>
      </c>
      <c r="CC10" s="95">
        <v>0</v>
      </c>
      <c r="CD10" s="98">
        <v>0</v>
      </c>
      <c r="CE10" s="95">
        <v>0</v>
      </c>
      <c r="CF10" s="98">
        <v>0</v>
      </c>
      <c r="CG10" s="95">
        <v>39</v>
      </c>
      <c r="CH10" s="98">
        <v>95.1219512195122</v>
      </c>
      <c r="CI10" s="95">
        <v>41</v>
      </c>
      <c r="CJ10" s="116" t="str">
        <f>REPLACE(INDEX(GroupVertices[Group],MATCH("~"&amp;Vertices[[#This Row],[Vertex]],GroupVertices[Vertex],0)),1,1,"")</f>
        <v>8</v>
      </c>
      <c r="CK10" s="95" t="s">
        <v>2405</v>
      </c>
      <c r="CL10" s="95" t="s">
        <v>2405</v>
      </c>
      <c r="CM10" s="95"/>
      <c r="CN10" s="95"/>
      <c r="CO10" s="2"/>
    </row>
    <row r="11" spans="1:93" ht="41.45" customHeight="1">
      <c r="A11" s="59" t="s">
        <v>335</v>
      </c>
      <c r="C11" s="60"/>
      <c r="D11" s="60" t="s">
        <v>64</v>
      </c>
      <c r="E11" s="61">
        <v>10</v>
      </c>
      <c r="F11" s="63"/>
      <c r="G11" s="92" t="str">
        <f>HYPERLINK("https://pbs.twimg.com/profile_images/669793728970682369/CaHHKPMc_normal.png")</f>
        <v>https://pbs.twimg.com/profile_images/669793728970682369/CaHHKPMc_normal.png</v>
      </c>
      <c r="H11" s="60"/>
      <c r="I11" s="64" t="str">
        <f>Vertices[[#This Row],[Vertex]]</f>
        <v>cnnindonesia</v>
      </c>
      <c r="J11" s="65"/>
      <c r="K11" s="65"/>
      <c r="L11" s="64"/>
      <c r="M11" s="68"/>
      <c r="N11" s="69">
        <v>4471.68408203125</v>
      </c>
      <c r="O11" s="69">
        <v>8662.9658203125</v>
      </c>
      <c r="P11" s="70"/>
      <c r="Q11" s="71"/>
      <c r="R11" s="71"/>
      <c r="S11" s="78"/>
      <c r="T11" s="44">
        <v>4</v>
      </c>
      <c r="U11" s="44">
        <v>1</v>
      </c>
      <c r="V11" s="45">
        <v>397.028057</v>
      </c>
      <c r="W11" s="45">
        <v>0.147533</v>
      </c>
      <c r="X11" s="45">
        <v>0.007777</v>
      </c>
      <c r="Y11" s="45">
        <v>0.003793</v>
      </c>
      <c r="Z11" s="45">
        <v>0</v>
      </c>
      <c r="AA11" s="45">
        <v>0</v>
      </c>
      <c r="AB11" s="66">
        <v>11</v>
      </c>
      <c r="AC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 s="67"/>
      <c r="AE11" t="s">
        <v>1545</v>
      </c>
      <c r="AF11" s="74" t="s">
        <v>1319</v>
      </c>
      <c r="AG11">
        <v>4022760</v>
      </c>
      <c r="AH11">
        <v>12</v>
      </c>
      <c r="AI11">
        <v>786418</v>
      </c>
      <c r="AJ11">
        <v>2301</v>
      </c>
      <c r="AK11">
        <v>12</v>
      </c>
      <c r="AL11">
        <v>126196</v>
      </c>
      <c r="AM11" t="b">
        <v>0</v>
      </c>
      <c r="AN11" s="73">
        <v>39755.46765046296</v>
      </c>
      <c r="AP11" t="s">
        <v>2031</v>
      </c>
      <c r="AQ11" s="76" t="str">
        <f>HYPERLINK("https://t.co/wP16vn5KQq")</f>
        <v>https://t.co/wP16vn5KQq</v>
      </c>
      <c r="AR11" s="76" t="str">
        <f>HYPERLINK("http://cnnindonesia.com")</f>
        <v>http://cnnindonesia.com</v>
      </c>
      <c r="AS11" t="s">
        <v>722</v>
      </c>
      <c r="AT11" t="s">
        <v>2327</v>
      </c>
      <c r="AU11" t="s">
        <v>2330</v>
      </c>
      <c r="AV11" t="s">
        <v>2334</v>
      </c>
      <c r="AW11">
        <v>1.72979784720831E+18</v>
      </c>
      <c r="AX11" s="76" t="str">
        <f>HYPERLINK("https://t.co/wP16vn5KQq")</f>
        <v>https://t.co/wP16vn5KQq</v>
      </c>
      <c r="AY11" t="b">
        <v>1</v>
      </c>
      <c r="BB11" t="b">
        <v>0</v>
      </c>
      <c r="BC11" t="b">
        <v>1</v>
      </c>
      <c r="BD11" t="b">
        <v>1</v>
      </c>
      <c r="BE11" t="b">
        <v>0</v>
      </c>
      <c r="BF11" t="b">
        <v>1</v>
      </c>
      <c r="BG11" t="b">
        <v>0</v>
      </c>
      <c r="BH11" t="b">
        <v>0</v>
      </c>
      <c r="BI11" s="76" t="str">
        <f>HYPERLINK("https://pbs.twimg.com/profile_banners/17128975/1640673390")</f>
        <v>https://pbs.twimg.com/profile_banners/17128975/1640673390</v>
      </c>
      <c r="BK11" t="s">
        <v>2343</v>
      </c>
      <c r="BL11" t="b">
        <v>0</v>
      </c>
      <c r="BN11" t="s">
        <v>66</v>
      </c>
      <c r="BO11" t="s">
        <v>2345</v>
      </c>
      <c r="BP11" s="76" t="str">
        <f>HYPERLINK("https://twitter.com/cnnindonesia")</f>
        <v>https://twitter.com/cnnindonesia</v>
      </c>
      <c r="BQ11" s="44" t="s">
        <v>3236</v>
      </c>
      <c r="BR11" s="44" t="s">
        <v>3236</v>
      </c>
      <c r="BS11" s="44" t="s">
        <v>722</v>
      </c>
      <c r="BT11" s="44" t="s">
        <v>722</v>
      </c>
      <c r="BU11" s="44"/>
      <c r="BV11" s="44"/>
      <c r="BW11" s="95" t="s">
        <v>3423</v>
      </c>
      <c r="BX11" s="95" t="s">
        <v>3423</v>
      </c>
      <c r="BY11" s="95" t="s">
        <v>3441</v>
      </c>
      <c r="BZ11" s="95" t="s">
        <v>3441</v>
      </c>
      <c r="CA11" s="95">
        <v>0</v>
      </c>
      <c r="CB11" s="98">
        <v>0</v>
      </c>
      <c r="CC11" s="95">
        <v>1</v>
      </c>
      <c r="CD11" s="98">
        <v>10</v>
      </c>
      <c r="CE11" s="95">
        <v>0</v>
      </c>
      <c r="CF11" s="98">
        <v>0</v>
      </c>
      <c r="CG11" s="95">
        <v>9</v>
      </c>
      <c r="CH11" s="98">
        <v>90</v>
      </c>
      <c r="CI11" s="95">
        <v>10</v>
      </c>
      <c r="CJ11" s="116" t="str">
        <f>REPLACE(INDEX(GroupVertices[Group],MATCH("~"&amp;Vertices[[#This Row],[Vertex]],GroupVertices[Vertex],0)),1,1,"")</f>
        <v>5</v>
      </c>
      <c r="CK11" s="95" t="s">
        <v>3236</v>
      </c>
      <c r="CL11" s="95" t="s">
        <v>3236</v>
      </c>
      <c r="CM11" s="95"/>
      <c r="CN11" s="95"/>
      <c r="CO11" s="2"/>
    </row>
    <row r="12" spans="1:93" ht="41.45" customHeight="1">
      <c r="A12" s="59" t="s">
        <v>337</v>
      </c>
      <c r="C12" s="60"/>
      <c r="D12" s="60" t="s">
        <v>64</v>
      </c>
      <c r="E12" s="61">
        <v>10</v>
      </c>
      <c r="F12" s="63"/>
      <c r="G12" s="92" t="str">
        <f>HYPERLINK("https://pbs.twimg.com/profile_images/1226436191215505408/du40qrKr_normal.jpg")</f>
        <v>https://pbs.twimg.com/profile_images/1226436191215505408/du40qrKr_normal.jpg</v>
      </c>
      <c r="H12" s="60"/>
      <c r="I12" s="64" t="str">
        <f>Vertices[[#This Row],[Vertex]]</f>
        <v>keuangannews_id</v>
      </c>
      <c r="J12" s="65"/>
      <c r="K12" s="65"/>
      <c r="L12" s="64"/>
      <c r="M12" s="68"/>
      <c r="N12" s="69">
        <v>4194.2880859375</v>
      </c>
      <c r="O12" s="69">
        <v>7089.42724609375</v>
      </c>
      <c r="P12" s="70"/>
      <c r="Q12" s="71"/>
      <c r="R12" s="71"/>
      <c r="S12" s="78"/>
      <c r="T12" s="44">
        <v>4</v>
      </c>
      <c r="U12" s="44">
        <v>1</v>
      </c>
      <c r="V12" s="45">
        <v>383.450216</v>
      </c>
      <c r="W12" s="45">
        <v>0.145638</v>
      </c>
      <c r="X12" s="45">
        <v>0.006223</v>
      </c>
      <c r="Y12" s="45">
        <v>0.004202</v>
      </c>
      <c r="Z12" s="45">
        <v>0</v>
      </c>
      <c r="AA12" s="45">
        <v>0</v>
      </c>
      <c r="AB12" s="66">
        <v>12</v>
      </c>
      <c r="AC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 s="67"/>
      <c r="AE12" t="s">
        <v>1571</v>
      </c>
      <c r="AF12" s="74" t="s">
        <v>1331</v>
      </c>
      <c r="AG12">
        <v>97208</v>
      </c>
      <c r="AH12">
        <v>69465</v>
      </c>
      <c r="AI12">
        <v>79140</v>
      </c>
      <c r="AJ12">
        <v>43</v>
      </c>
      <c r="AK12">
        <v>39662</v>
      </c>
      <c r="AL12">
        <v>303</v>
      </c>
      <c r="AM12" t="b">
        <v>0</v>
      </c>
      <c r="AN12" s="73">
        <v>43870.39052083333</v>
      </c>
      <c r="AP12" t="s">
        <v>2055</v>
      </c>
      <c r="AQ12" s="76" t="str">
        <f>HYPERLINK("https://t.co/7y4Xd95lbs")</f>
        <v>https://t.co/7y4Xd95lbs</v>
      </c>
      <c r="AR12" s="76" t="str">
        <f>HYPERLINK("https://keuangannews.id")</f>
        <v>https://keuangannews.id</v>
      </c>
      <c r="AS12" t="s">
        <v>723</v>
      </c>
      <c r="AX12" s="76" t="str">
        <f>HYPERLINK("https://t.co/7y4Xd95lbs")</f>
        <v>https://t.co/7y4Xd95lbs</v>
      </c>
      <c r="AY12" t="b">
        <v>0</v>
      </c>
      <c r="BB12" t="b">
        <v>0</v>
      </c>
      <c r="BC12" t="b">
        <v>1</v>
      </c>
      <c r="BD12" t="b">
        <v>1</v>
      </c>
      <c r="BE12" t="b">
        <v>0</v>
      </c>
      <c r="BF12" t="b">
        <v>1</v>
      </c>
      <c r="BG12" t="b">
        <v>0</v>
      </c>
      <c r="BH12" t="b">
        <v>0</v>
      </c>
      <c r="BI12" s="76" t="str">
        <f>HYPERLINK("https://pbs.twimg.com/profile_banners/1226436091617505281/1591514024")</f>
        <v>https://pbs.twimg.com/profile_banners/1226436091617505281/1591514024</v>
      </c>
      <c r="BK12" t="s">
        <v>2343</v>
      </c>
      <c r="BL12" t="b">
        <v>0</v>
      </c>
      <c r="BN12" t="s">
        <v>66</v>
      </c>
      <c r="BO12" t="s">
        <v>2345</v>
      </c>
      <c r="BP12" s="76" t="str">
        <f>HYPERLINK("https://twitter.com/keuangannews_id")</f>
        <v>https://twitter.com/keuangannews_id</v>
      </c>
      <c r="BQ12" s="44" t="s">
        <v>3235</v>
      </c>
      <c r="BR12" s="44" t="s">
        <v>3235</v>
      </c>
      <c r="BS12" s="44" t="s">
        <v>723</v>
      </c>
      <c r="BT12" s="44" t="s">
        <v>723</v>
      </c>
      <c r="BU12" s="44"/>
      <c r="BV12" s="44"/>
      <c r="BW12" s="95" t="s">
        <v>3428</v>
      </c>
      <c r="BX12" s="95" t="s">
        <v>3428</v>
      </c>
      <c r="BY12" s="95" t="s">
        <v>3446</v>
      </c>
      <c r="BZ12" s="95" t="s">
        <v>3446</v>
      </c>
      <c r="CA12" s="95">
        <v>0</v>
      </c>
      <c r="CB12" s="98">
        <v>0</v>
      </c>
      <c r="CC12" s="95">
        <v>1</v>
      </c>
      <c r="CD12" s="98">
        <v>8.333333333333334</v>
      </c>
      <c r="CE12" s="95">
        <v>0</v>
      </c>
      <c r="CF12" s="98">
        <v>0</v>
      </c>
      <c r="CG12" s="95">
        <v>10</v>
      </c>
      <c r="CH12" s="98">
        <v>83.33333333333333</v>
      </c>
      <c r="CI12" s="95">
        <v>12</v>
      </c>
      <c r="CJ12" s="116" t="str">
        <f>REPLACE(INDEX(GroupVertices[Group],MATCH("~"&amp;Vertices[[#This Row],[Vertex]],GroupVertices[Vertex],0)),1,1,"")</f>
        <v>5</v>
      </c>
      <c r="CK12" s="95" t="s">
        <v>3235</v>
      </c>
      <c r="CL12" s="95" t="s">
        <v>3235</v>
      </c>
      <c r="CM12" s="95"/>
      <c r="CN12" s="95"/>
      <c r="CO12" s="2"/>
    </row>
    <row r="13" spans="1:93" ht="41.45" customHeight="1">
      <c r="A13" s="59" t="s">
        <v>270</v>
      </c>
      <c r="C13" s="60"/>
      <c r="D13" s="60" t="s">
        <v>64</v>
      </c>
      <c r="E13" s="61">
        <v>10</v>
      </c>
      <c r="F13" s="63"/>
      <c r="G13" s="92" t="str">
        <f>HYPERLINK("https://pbs.twimg.com/profile_images/1463084916883685379/pYWu2w0H_normal.jpg")</f>
        <v>https://pbs.twimg.com/profile_images/1463084916883685379/pYWu2w0H_normal.jpg</v>
      </c>
      <c r="H13" s="60"/>
      <c r="I13" s="64" t="str">
        <f>Vertices[[#This Row],[Vertex]]</f>
        <v>hnurwahid</v>
      </c>
      <c r="J13" s="65"/>
      <c r="K13" s="65"/>
      <c r="L13" s="64"/>
      <c r="M13" s="68"/>
      <c r="N13" s="69">
        <v>6498.27587890625</v>
      </c>
      <c r="O13" s="69">
        <v>1594.966064453125</v>
      </c>
      <c r="P13" s="70"/>
      <c r="Q13" s="71"/>
      <c r="R13" s="71"/>
      <c r="S13" s="78"/>
      <c r="T13" s="44">
        <v>3</v>
      </c>
      <c r="U13" s="44">
        <v>1</v>
      </c>
      <c r="V13" s="45">
        <v>3452.173538</v>
      </c>
      <c r="W13" s="45">
        <v>0.174151</v>
      </c>
      <c r="X13" s="45">
        <v>0.015058</v>
      </c>
      <c r="Y13" s="45">
        <v>0.003776</v>
      </c>
      <c r="Z13" s="45">
        <v>0.08333333333333333</v>
      </c>
      <c r="AA13" s="45">
        <v>0</v>
      </c>
      <c r="AB13" s="66">
        <v>13</v>
      </c>
      <c r="AC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 s="67"/>
      <c r="AE13" t="s">
        <v>1638</v>
      </c>
      <c r="AF13" s="74" t="s">
        <v>1371</v>
      </c>
      <c r="AG13">
        <v>1554445</v>
      </c>
      <c r="AH13">
        <v>997</v>
      </c>
      <c r="AI13">
        <v>22827</v>
      </c>
      <c r="AJ13">
        <v>671</v>
      </c>
      <c r="AK13">
        <v>1271</v>
      </c>
      <c r="AL13">
        <v>2104</v>
      </c>
      <c r="AM13" t="b">
        <v>0</v>
      </c>
      <c r="AN13" s="73">
        <v>40115.295902777776</v>
      </c>
      <c r="AO13" t="s">
        <v>1942</v>
      </c>
      <c r="AP13" t="s">
        <v>2111</v>
      </c>
      <c r="AQ13" s="76" t="str">
        <f>HYPERLINK("https://t.co/jOmFnqgwGn")</f>
        <v>https://t.co/jOmFnqgwGn</v>
      </c>
      <c r="AR13" s="76" t="str">
        <f>HYPERLINK("https://www.tiktok.com/@hnurwahid_")</f>
        <v>https://www.tiktok.com/@hnurwahid_</v>
      </c>
      <c r="AS13" t="s">
        <v>2288</v>
      </c>
      <c r="AX13" s="76" t="str">
        <f>HYPERLINK("https://t.co/jOmFnqgwGn")</f>
        <v>https://t.co/jOmFnqgwGn</v>
      </c>
      <c r="AY13" t="b">
        <v>1</v>
      </c>
      <c r="BB13" t="b">
        <v>0</v>
      </c>
      <c r="BC13" t="b">
        <v>0</v>
      </c>
      <c r="BD13" t="b">
        <v>0</v>
      </c>
      <c r="BE13" t="b">
        <v>0</v>
      </c>
      <c r="BF13" t="b">
        <v>0</v>
      </c>
      <c r="BG13" t="b">
        <v>0</v>
      </c>
      <c r="BH13" t="b">
        <v>0</v>
      </c>
      <c r="BI13" s="76" t="str">
        <f>HYPERLINK("https://pbs.twimg.com/profile_banners/86012022/1637664369")</f>
        <v>https://pbs.twimg.com/profile_banners/86012022/1637664369</v>
      </c>
      <c r="BK13" t="s">
        <v>2343</v>
      </c>
      <c r="BL13" t="b">
        <v>0</v>
      </c>
      <c r="BN13" t="s">
        <v>66</v>
      </c>
      <c r="BO13" t="s">
        <v>2345</v>
      </c>
      <c r="BP13" s="76" t="str">
        <f>HYPERLINK("https://twitter.com/hnurwahid")</f>
        <v>https://twitter.com/hnurwahid</v>
      </c>
      <c r="BQ13" s="44"/>
      <c r="BR13" s="44"/>
      <c r="BS13" s="44"/>
      <c r="BT13" s="44"/>
      <c r="BU13" s="44"/>
      <c r="BV13" s="44"/>
      <c r="BW13" s="95" t="s">
        <v>2443</v>
      </c>
      <c r="BX13" s="95" t="s">
        <v>2443</v>
      </c>
      <c r="BY13" s="95" t="s">
        <v>2523</v>
      </c>
      <c r="BZ13" s="95" t="s">
        <v>2523</v>
      </c>
      <c r="CA13" s="95">
        <v>0</v>
      </c>
      <c r="CB13" s="98">
        <v>0</v>
      </c>
      <c r="CC13" s="95">
        <v>1</v>
      </c>
      <c r="CD13" s="98">
        <v>3.7037037037037037</v>
      </c>
      <c r="CE13" s="95">
        <v>0</v>
      </c>
      <c r="CF13" s="98">
        <v>0</v>
      </c>
      <c r="CG13" s="95">
        <v>26</v>
      </c>
      <c r="CH13" s="98">
        <v>96.29629629629629</v>
      </c>
      <c r="CI13" s="95">
        <v>27</v>
      </c>
      <c r="CJ13" s="116" t="str">
        <f>REPLACE(INDEX(GroupVertices[Group],MATCH("~"&amp;Vertices[[#This Row],[Vertex]],GroupVertices[Vertex],0)),1,1,"")</f>
        <v>10</v>
      </c>
      <c r="CK13" s="95"/>
      <c r="CL13" s="95"/>
      <c r="CM13" s="95"/>
      <c r="CN13" s="95"/>
      <c r="CO13" s="2"/>
    </row>
    <row r="14" spans="1:93" ht="41.45" customHeight="1">
      <c r="A14" s="59" t="s">
        <v>336</v>
      </c>
      <c r="C14" s="60"/>
      <c r="D14" s="60" t="s">
        <v>64</v>
      </c>
      <c r="E14" s="61">
        <v>10</v>
      </c>
      <c r="F14" s="63"/>
      <c r="G14" s="92" t="str">
        <f>HYPERLINK("https://pbs.twimg.com/profile_images/1720330836598558720/gI9Swboi_normal.jpg")</f>
        <v>https://pbs.twimg.com/profile_images/1720330836598558720/gI9Swboi_normal.jpg</v>
      </c>
      <c r="H14" s="60"/>
      <c r="I14" s="64" t="str">
        <f>Vertices[[#This Row],[Vertex]]</f>
        <v>mardanialisera</v>
      </c>
      <c r="J14" s="65"/>
      <c r="K14" s="65"/>
      <c r="L14" s="64"/>
      <c r="M14" s="68"/>
      <c r="N14" s="69">
        <v>5882.45361328125</v>
      </c>
      <c r="O14" s="69">
        <v>3097.856689453125</v>
      </c>
      <c r="P14" s="70"/>
      <c r="Q14" s="71"/>
      <c r="R14" s="71"/>
      <c r="S14" s="78"/>
      <c r="T14" s="44">
        <v>3</v>
      </c>
      <c r="U14" s="44">
        <v>1</v>
      </c>
      <c r="V14" s="45">
        <v>459.360511</v>
      </c>
      <c r="W14" s="45">
        <v>0.152236</v>
      </c>
      <c r="X14" s="45">
        <v>0.00874</v>
      </c>
      <c r="Y14" s="45">
        <v>0.003616</v>
      </c>
      <c r="Z14" s="45">
        <v>0</v>
      </c>
      <c r="AA14" s="45">
        <v>0</v>
      </c>
      <c r="AB14" s="66">
        <v>14</v>
      </c>
      <c r="AC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 s="67"/>
      <c r="AE14" t="s">
        <v>1640</v>
      </c>
      <c r="AF14" s="74" t="s">
        <v>1350</v>
      </c>
      <c r="AG14">
        <v>512382</v>
      </c>
      <c r="AH14">
        <v>503</v>
      </c>
      <c r="AI14">
        <v>21551</v>
      </c>
      <c r="AJ14">
        <v>169</v>
      </c>
      <c r="AK14">
        <v>4692</v>
      </c>
      <c r="AL14">
        <v>4484</v>
      </c>
      <c r="AM14" t="b">
        <v>0</v>
      </c>
      <c r="AN14" s="73">
        <v>40248.41792824074</v>
      </c>
      <c r="AO14" t="s">
        <v>1966</v>
      </c>
      <c r="AP14" t="s">
        <v>2113</v>
      </c>
      <c r="AW14">
        <v>1.62870465034939E+18</v>
      </c>
      <c r="AY14" t="b">
        <v>1</v>
      </c>
      <c r="BA14" t="b">
        <v>1</v>
      </c>
      <c r="BB14" t="b">
        <v>0</v>
      </c>
      <c r="BC14" t="b">
        <v>1</v>
      </c>
      <c r="BD14" t="b">
        <v>0</v>
      </c>
      <c r="BE14" t="b">
        <v>0</v>
      </c>
      <c r="BF14" t="b">
        <v>1</v>
      </c>
      <c r="BG14" t="b">
        <v>0</v>
      </c>
      <c r="BH14" t="b">
        <v>0</v>
      </c>
      <c r="BI14" s="76" t="str">
        <f>HYPERLINK("https://pbs.twimg.com/profile_banners/122020937/1597584652")</f>
        <v>https://pbs.twimg.com/profile_banners/122020937/1597584652</v>
      </c>
      <c r="BK14" t="s">
        <v>2343</v>
      </c>
      <c r="BL14" t="b">
        <v>1</v>
      </c>
      <c r="BN14" t="s">
        <v>66</v>
      </c>
      <c r="BO14" t="s">
        <v>2345</v>
      </c>
      <c r="BP14" s="76" t="str">
        <f>HYPERLINK("https://twitter.com/mardanialisera")</f>
        <v>https://twitter.com/mardanialisera</v>
      </c>
      <c r="BQ14" s="44"/>
      <c r="BR14" s="44"/>
      <c r="BS14" s="44"/>
      <c r="BT14" s="44"/>
      <c r="BU14" s="44"/>
      <c r="BV14" s="44"/>
      <c r="BW14" s="95" t="s">
        <v>3433</v>
      </c>
      <c r="BX14" s="95" t="s">
        <v>3433</v>
      </c>
      <c r="BY14" s="95" t="s">
        <v>3456</v>
      </c>
      <c r="BZ14" s="95" t="s">
        <v>3456</v>
      </c>
      <c r="CA14" s="95">
        <v>0</v>
      </c>
      <c r="CB14" s="98">
        <v>0</v>
      </c>
      <c r="CC14" s="95">
        <v>0</v>
      </c>
      <c r="CD14" s="98">
        <v>0</v>
      </c>
      <c r="CE14" s="95">
        <v>0</v>
      </c>
      <c r="CF14" s="98">
        <v>0</v>
      </c>
      <c r="CG14" s="95">
        <v>45</v>
      </c>
      <c r="CH14" s="98">
        <v>100</v>
      </c>
      <c r="CI14" s="95">
        <v>45</v>
      </c>
      <c r="CJ14" s="116" t="str">
        <f>REPLACE(INDEX(GroupVertices[Group],MATCH("~"&amp;Vertices[[#This Row],[Vertex]],GroupVertices[Vertex],0)),1,1,"")</f>
        <v>10</v>
      </c>
      <c r="CK14" s="95"/>
      <c r="CL14" s="95"/>
      <c r="CM14" s="95"/>
      <c r="CN14" s="95"/>
      <c r="CO14" s="2"/>
    </row>
    <row r="15" spans="1:93" ht="41.45" customHeight="1">
      <c r="A15" s="59" t="s">
        <v>333</v>
      </c>
      <c r="C15" s="60"/>
      <c r="D15" s="60" t="s">
        <v>64</v>
      </c>
      <c r="E15" s="61">
        <v>10</v>
      </c>
      <c r="F15" s="63"/>
      <c r="G15" s="92" t="str">
        <f>HYPERLINK("https://pbs.twimg.com/profile_images/1149965232657162240/zduaogzZ_normal.jpg")</f>
        <v>https://pbs.twimg.com/profile_images/1149965232657162240/zduaogzZ_normal.jpg</v>
      </c>
      <c r="H15" s="60"/>
      <c r="I15" s="64" t="str">
        <f>Vertices[[#This Row],[Vertex]]</f>
        <v>musniumar</v>
      </c>
      <c r="J15" s="65"/>
      <c r="K15" s="65"/>
      <c r="L15" s="64"/>
      <c r="M15" s="68"/>
      <c r="N15" s="69">
        <v>5755.794921875</v>
      </c>
      <c r="O15" s="69">
        <v>8681.9462890625</v>
      </c>
      <c r="P15" s="70"/>
      <c r="Q15" s="71"/>
      <c r="R15" s="71"/>
      <c r="S15" s="78"/>
      <c r="T15" s="44">
        <v>3</v>
      </c>
      <c r="U15" s="44">
        <v>1</v>
      </c>
      <c r="V15" s="45">
        <v>649.897035</v>
      </c>
      <c r="W15" s="45">
        <v>0.147054</v>
      </c>
      <c r="X15" s="45">
        <v>0.005777</v>
      </c>
      <c r="Y15" s="45">
        <v>0.003672</v>
      </c>
      <c r="Z15" s="45">
        <v>0</v>
      </c>
      <c r="AA15" s="45">
        <v>0</v>
      </c>
      <c r="AB15" s="66">
        <v>15</v>
      </c>
      <c r="AC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 s="67"/>
      <c r="AE15" t="s">
        <v>1557</v>
      </c>
      <c r="AF15" s="74" t="s">
        <v>1325</v>
      </c>
      <c r="AG15">
        <v>221601</v>
      </c>
      <c r="AH15">
        <v>2728</v>
      </c>
      <c r="AI15">
        <v>36680</v>
      </c>
      <c r="AJ15">
        <v>57</v>
      </c>
      <c r="AK15">
        <v>16228</v>
      </c>
      <c r="AL15">
        <v>15290</v>
      </c>
      <c r="AM15" t="b">
        <v>0</v>
      </c>
      <c r="AN15" s="73">
        <v>40225.393125</v>
      </c>
      <c r="AO15" t="s">
        <v>1942</v>
      </c>
      <c r="AP15" t="s">
        <v>2042</v>
      </c>
      <c r="AQ15" s="76" t="str">
        <f>HYPERLINK("https://t.co/Tjoh4yBGTp")</f>
        <v>https://t.co/Tjoh4yBGTp</v>
      </c>
      <c r="AR15" s="76" t="str">
        <f>HYPERLINK("https://arahjaya.com")</f>
        <v>https://arahjaya.com</v>
      </c>
      <c r="AS15" t="s">
        <v>721</v>
      </c>
      <c r="AX15" s="76" t="str">
        <f>HYPERLINK("https://t.co/Tjoh4yBGTp")</f>
        <v>https://t.co/Tjoh4yBGTp</v>
      </c>
      <c r="AY15" t="b">
        <v>1</v>
      </c>
      <c r="BB15" t="b">
        <v>0</v>
      </c>
      <c r="BC15" t="b">
        <v>1</v>
      </c>
      <c r="BD15" t="b">
        <v>1</v>
      </c>
      <c r="BE15" t="b">
        <v>0</v>
      </c>
      <c r="BF15" t="b">
        <v>1</v>
      </c>
      <c r="BG15" t="b">
        <v>0</v>
      </c>
      <c r="BH15" t="b">
        <v>0</v>
      </c>
      <c r="BI15" s="76" t="str">
        <f>HYPERLINK("https://pbs.twimg.com/profile_banners/114697372/1559629750")</f>
        <v>https://pbs.twimg.com/profile_banners/114697372/1559629750</v>
      </c>
      <c r="BK15" t="s">
        <v>2343</v>
      </c>
      <c r="BL15" t="b">
        <v>0</v>
      </c>
      <c r="BN15" t="s">
        <v>66</v>
      </c>
      <c r="BO15" t="s">
        <v>2345</v>
      </c>
      <c r="BP15" s="76" t="str">
        <f>HYPERLINK("https://twitter.com/musniumar")</f>
        <v>https://twitter.com/musniumar</v>
      </c>
      <c r="BQ15" s="44" t="s">
        <v>2407</v>
      </c>
      <c r="BR15" s="44" t="s">
        <v>2407</v>
      </c>
      <c r="BS15" s="44" t="s">
        <v>721</v>
      </c>
      <c r="BT15" s="44" t="s">
        <v>721</v>
      </c>
      <c r="BU15" s="44"/>
      <c r="BV15" s="44"/>
      <c r="BW15" s="95" t="s">
        <v>2433</v>
      </c>
      <c r="BX15" s="95" t="s">
        <v>2433</v>
      </c>
      <c r="BY15" s="95" t="s">
        <v>2490</v>
      </c>
      <c r="BZ15" s="95" t="s">
        <v>2490</v>
      </c>
      <c r="CA15" s="95">
        <v>0</v>
      </c>
      <c r="CB15" s="98">
        <v>0</v>
      </c>
      <c r="CC15" s="95">
        <v>0</v>
      </c>
      <c r="CD15" s="98">
        <v>0</v>
      </c>
      <c r="CE15" s="95">
        <v>0</v>
      </c>
      <c r="CF15" s="98">
        <v>0</v>
      </c>
      <c r="CG15" s="95">
        <v>39</v>
      </c>
      <c r="CH15" s="98">
        <v>100</v>
      </c>
      <c r="CI15" s="95">
        <v>39</v>
      </c>
      <c r="CJ15" s="116" t="str">
        <f>REPLACE(INDEX(GroupVertices[Group],MATCH("~"&amp;Vertices[[#This Row],[Vertex]],GroupVertices[Vertex],0)),1,1,"")</f>
        <v>12</v>
      </c>
      <c r="CK15" s="95" t="s">
        <v>2407</v>
      </c>
      <c r="CL15" s="95" t="s">
        <v>2407</v>
      </c>
      <c r="CM15" s="95"/>
      <c r="CN15" s="95"/>
      <c r="CO15" s="2"/>
    </row>
    <row r="16" spans="1:93" ht="41.45" customHeight="1">
      <c r="A16" s="59" t="s">
        <v>394</v>
      </c>
      <c r="C16" s="60"/>
      <c r="D16" s="60" t="s">
        <v>64</v>
      </c>
      <c r="E16" s="61">
        <v>10</v>
      </c>
      <c r="F16" s="63"/>
      <c r="G16" s="92" t="str">
        <f>HYPERLINK("https://pbs.twimg.com/profile_images/1724457306761654272/xrWPULpQ_normal.jpg")</f>
        <v>https://pbs.twimg.com/profile_images/1724457306761654272/xrWPULpQ_normal.jpg</v>
      </c>
      <c r="H16" s="60"/>
      <c r="I16" s="64" t="str">
        <f>Vertices[[#This Row],[Vertex]]</f>
        <v>aniesbaswedan</v>
      </c>
      <c r="J16" s="65"/>
      <c r="K16" s="65"/>
      <c r="L16" s="64"/>
      <c r="M16" s="68"/>
      <c r="N16" s="69">
        <v>4099.6513671875</v>
      </c>
      <c r="O16" s="69">
        <v>4459.015625</v>
      </c>
      <c r="P16" s="70"/>
      <c r="Q16" s="71"/>
      <c r="R16" s="71"/>
      <c r="S16" s="78"/>
      <c r="T16" s="44">
        <v>3</v>
      </c>
      <c r="U16" s="44">
        <v>0</v>
      </c>
      <c r="V16" s="45">
        <v>1509.578177</v>
      </c>
      <c r="W16" s="45">
        <v>0.143792</v>
      </c>
      <c r="X16" s="45">
        <v>0.008155</v>
      </c>
      <c r="Y16" s="45">
        <v>0.003619</v>
      </c>
      <c r="Z16" s="45">
        <v>0</v>
      </c>
      <c r="AA16" s="45">
        <v>0</v>
      </c>
      <c r="AB16" s="66">
        <v>16</v>
      </c>
      <c r="AC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 s="67"/>
      <c r="AE16" t="s">
        <v>1647</v>
      </c>
      <c r="AF16" s="74" t="s">
        <v>1839</v>
      </c>
      <c r="AG16">
        <v>4972687</v>
      </c>
      <c r="AH16">
        <v>384</v>
      </c>
      <c r="AI16">
        <v>15290</v>
      </c>
      <c r="AJ16">
        <v>1471</v>
      </c>
      <c r="AK16">
        <v>22084</v>
      </c>
      <c r="AL16">
        <v>3929</v>
      </c>
      <c r="AM16" t="b">
        <v>0</v>
      </c>
      <c r="AN16" s="73">
        <v>40210.141493055555</v>
      </c>
      <c r="AO16" t="s">
        <v>996</v>
      </c>
      <c r="AP16" t="s">
        <v>2120</v>
      </c>
      <c r="AQ16" s="76" t="str">
        <f>HYPERLINK("https://t.co/YAI01lyU0b")</f>
        <v>https://t.co/YAI01lyU0b</v>
      </c>
      <c r="AR16" s="76" t="str">
        <f>HYPERLINK("https://linktr.ee/anies.baswedan")</f>
        <v>https://linktr.ee/anies.baswedan</v>
      </c>
      <c r="AS16" t="s">
        <v>2292</v>
      </c>
      <c r="AW16">
        <v>1.71447639430108E+18</v>
      </c>
      <c r="AX16" s="76" t="str">
        <f>HYPERLINK("https://t.co/YAI01lyU0b")</f>
        <v>https://t.co/YAI01lyU0b</v>
      </c>
      <c r="AY16" t="b">
        <v>1</v>
      </c>
      <c r="BA16" t="b">
        <v>1</v>
      </c>
      <c r="BB16" t="b">
        <v>1</v>
      </c>
      <c r="BC16" t="b">
        <v>0</v>
      </c>
      <c r="BD16" t="b">
        <v>1</v>
      </c>
      <c r="BE16" t="b">
        <v>0</v>
      </c>
      <c r="BF16" t="b">
        <v>1</v>
      </c>
      <c r="BG16" t="b">
        <v>0</v>
      </c>
      <c r="BH16" t="b">
        <v>0</v>
      </c>
      <c r="BI16" s="76" t="str">
        <f>HYPERLINK("https://pbs.twimg.com/profile_banners/110312278/1671194359")</f>
        <v>https://pbs.twimg.com/profile_banners/110312278/1671194359</v>
      </c>
      <c r="BK16" t="s">
        <v>2343</v>
      </c>
      <c r="BL16" t="b">
        <v>1</v>
      </c>
      <c r="BN16" t="s">
        <v>65</v>
      </c>
      <c r="BO16" t="s">
        <v>2345</v>
      </c>
      <c r="BP16" s="76" t="str">
        <f>HYPERLINK("https://twitter.com/aniesbaswedan")</f>
        <v>https://twitter.com/aniesbaswedan</v>
      </c>
      <c r="BQ16" s="44"/>
      <c r="BR16" s="44"/>
      <c r="BS16" s="44"/>
      <c r="BT16" s="44"/>
      <c r="BU16" s="44"/>
      <c r="BV16" s="44"/>
      <c r="BW16" s="44"/>
      <c r="BX16" s="44"/>
      <c r="BY16" s="44"/>
      <c r="BZ16" s="44"/>
      <c r="CA16" s="44"/>
      <c r="CB16" s="45"/>
      <c r="CC16" s="44"/>
      <c r="CD16" s="45"/>
      <c r="CE16" s="44"/>
      <c r="CF16" s="45"/>
      <c r="CG16" s="44"/>
      <c r="CH16" s="45"/>
      <c r="CI16" s="44"/>
      <c r="CJ16" s="112" t="str">
        <f>REPLACE(INDEX(GroupVertices[Group],MATCH("~"&amp;Vertices[[#This Row],[Vertex]],GroupVertices[Vertex],0)),1,1,"")</f>
        <v>8</v>
      </c>
      <c r="CK16" s="44"/>
      <c r="CL16" s="44"/>
      <c r="CM16" s="44"/>
      <c r="CN16" s="44"/>
      <c r="CO16" s="2"/>
    </row>
    <row r="17" spans="1:93" ht="41.45" customHeight="1">
      <c r="A17" s="59" t="s">
        <v>223</v>
      </c>
      <c r="C17" s="60"/>
      <c r="D17" s="60" t="s">
        <v>64</v>
      </c>
      <c r="E17" s="61">
        <v>10</v>
      </c>
      <c r="F17" s="63"/>
      <c r="G17" s="92" t="str">
        <f>HYPERLINK("https://pbs.twimg.com/profile_images/1576435843790610433/sDXgLsKO_normal.jpg")</f>
        <v>https://pbs.twimg.com/profile_images/1576435843790610433/sDXgLsKO_normal.jpg</v>
      </c>
      <c r="H17" s="60"/>
      <c r="I17" s="64" t="str">
        <f>Vertices[[#This Row],[Vertex]]</f>
        <v>sahabat_bangsa</v>
      </c>
      <c r="J17" s="65"/>
      <c r="K17" s="65"/>
      <c r="L17" s="64"/>
      <c r="M17" s="68"/>
      <c r="N17" s="69">
        <v>3633.4287109375</v>
      </c>
      <c r="O17" s="69">
        <v>2779.4541015625</v>
      </c>
      <c r="P17" s="70"/>
      <c r="Q17" s="71"/>
      <c r="R17" s="71"/>
      <c r="S17" s="78"/>
      <c r="T17" s="44">
        <v>3</v>
      </c>
      <c r="U17" s="44">
        <v>3</v>
      </c>
      <c r="V17" s="45">
        <v>765.349351</v>
      </c>
      <c r="W17" s="45">
        <v>0.141328</v>
      </c>
      <c r="X17" s="45">
        <v>0.014762</v>
      </c>
      <c r="Y17" s="45">
        <v>0.004202</v>
      </c>
      <c r="Z17" s="45">
        <v>0.08333333333333333</v>
      </c>
      <c r="AA17" s="45">
        <v>0</v>
      </c>
      <c r="AB17" s="66">
        <v>17</v>
      </c>
      <c r="AC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 s="67"/>
      <c r="AE17" t="s">
        <v>1535</v>
      </c>
      <c r="AF17" s="74" t="s">
        <v>1369</v>
      </c>
      <c r="AG17">
        <v>9365</v>
      </c>
      <c r="AH17">
        <v>1976</v>
      </c>
      <c r="AI17">
        <v>38621</v>
      </c>
      <c r="AJ17">
        <v>13</v>
      </c>
      <c r="AK17">
        <v>24883</v>
      </c>
      <c r="AL17">
        <v>5240</v>
      </c>
      <c r="AM17" t="b">
        <v>0</v>
      </c>
      <c r="AN17" s="73">
        <v>41316.519594907404</v>
      </c>
      <c r="AO17" t="s">
        <v>1939</v>
      </c>
      <c r="AP17" t="s">
        <v>2021</v>
      </c>
      <c r="AQ17" s="76" t="str">
        <f>HYPERLINK("https://t.co/yfqYQjOj54")</f>
        <v>https://t.co/yfqYQjOj54</v>
      </c>
      <c r="AR17" s="76" t="str">
        <f>HYPERLINK("https://www.rizalramlipedia.org/Rizal-Ramli-Facts-3df8d169541c4bf5a760dcd419f2a17b")</f>
        <v>https://www.rizalramlipedia.org/Rizal-Ramli-Facts-3df8d169541c4bf5a760dcd419f2a17b</v>
      </c>
      <c r="AS17" t="s">
        <v>2261</v>
      </c>
      <c r="AW17">
        <v>1.46493300830617E+18</v>
      </c>
      <c r="AX17" s="76" t="str">
        <f>HYPERLINK("https://t.co/yfqYQjOj54")</f>
        <v>https://t.co/yfqYQjOj54</v>
      </c>
      <c r="AY17" t="b">
        <v>0</v>
      </c>
      <c r="BB17" t="b">
        <v>0</v>
      </c>
      <c r="BC17" t="b">
        <v>1</v>
      </c>
      <c r="BD17" t="b">
        <v>0</v>
      </c>
      <c r="BE17" t="b">
        <v>0</v>
      </c>
      <c r="BF17" t="b">
        <v>0</v>
      </c>
      <c r="BG17" t="b">
        <v>0</v>
      </c>
      <c r="BH17" t="b">
        <v>0</v>
      </c>
      <c r="BI17" s="76" t="str">
        <f>HYPERLINK("https://pbs.twimg.com/profile_banners/1168746690/1455624640")</f>
        <v>https://pbs.twimg.com/profile_banners/1168746690/1455624640</v>
      </c>
      <c r="BK17" t="s">
        <v>2343</v>
      </c>
      <c r="BL17" t="b">
        <v>0</v>
      </c>
      <c r="BN17" t="s">
        <v>66</v>
      </c>
      <c r="BO17" t="s">
        <v>2345</v>
      </c>
      <c r="BP17" s="76" t="str">
        <f>HYPERLINK("https://twitter.com/sahabat_bangsa")</f>
        <v>https://twitter.com/sahabat_bangsa</v>
      </c>
      <c r="BQ17" s="44" t="s">
        <v>2404</v>
      </c>
      <c r="BR17" s="44" t="s">
        <v>2404</v>
      </c>
      <c r="BS17" s="44" t="s">
        <v>712</v>
      </c>
      <c r="BT17" s="44" t="s">
        <v>712</v>
      </c>
      <c r="BU17" s="44"/>
      <c r="BV17" s="44"/>
      <c r="BW17" s="95" t="s">
        <v>11413</v>
      </c>
      <c r="BX17" s="95" t="s">
        <v>11473</v>
      </c>
      <c r="BY17" s="95" t="s">
        <v>2481</v>
      </c>
      <c r="BZ17" s="95" t="s">
        <v>2481</v>
      </c>
      <c r="CA17" s="95">
        <v>6</v>
      </c>
      <c r="CB17" s="98">
        <v>13.043478260869565</v>
      </c>
      <c r="CC17" s="95">
        <v>1</v>
      </c>
      <c r="CD17" s="98">
        <v>2.1739130434782608</v>
      </c>
      <c r="CE17" s="95">
        <v>0</v>
      </c>
      <c r="CF17" s="98">
        <v>0</v>
      </c>
      <c r="CG17" s="95">
        <v>39</v>
      </c>
      <c r="CH17" s="98">
        <v>84.78260869565217</v>
      </c>
      <c r="CI17" s="95">
        <v>46</v>
      </c>
      <c r="CJ17" s="116" t="str">
        <f>REPLACE(INDEX(GroupVertices[Group],MATCH("~"&amp;Vertices[[#This Row],[Vertex]],GroupVertices[Vertex],0)),1,1,"")</f>
        <v>6</v>
      </c>
      <c r="CK17" s="95" t="s">
        <v>2404</v>
      </c>
      <c r="CL17" s="95" t="s">
        <v>2404</v>
      </c>
      <c r="CM17" s="95"/>
      <c r="CN17" s="95"/>
      <c r="CO17" s="2"/>
    </row>
    <row r="18" spans="1:93" ht="41.45" customHeight="1">
      <c r="A18" s="59" t="s">
        <v>288</v>
      </c>
      <c r="C18" s="60"/>
      <c r="D18" s="60" t="s">
        <v>64</v>
      </c>
      <c r="E18" s="61">
        <v>10</v>
      </c>
      <c r="F18" s="63"/>
      <c r="G18" s="92" t="str">
        <f>HYPERLINK("https://pbs.twimg.com/profile_images/1603554732202553345/n_kziDFc_normal.jpg")</f>
        <v>https://pbs.twimg.com/profile_images/1603554732202553345/n_kziDFc_normal.jpg</v>
      </c>
      <c r="H18" s="60"/>
      <c r="I18" s="64" t="str">
        <f>Vertices[[#This Row],[Vertex]]</f>
        <v>mdy_asmara1701</v>
      </c>
      <c r="J18" s="65"/>
      <c r="K18" s="65"/>
      <c r="L18" s="64"/>
      <c r="M18" s="68"/>
      <c r="N18" s="69">
        <v>5724.18994140625</v>
      </c>
      <c r="O18" s="69">
        <v>7195.294921875</v>
      </c>
      <c r="P18" s="70"/>
      <c r="Q18" s="71"/>
      <c r="R18" s="71"/>
      <c r="S18" s="78"/>
      <c r="T18" s="44">
        <v>3</v>
      </c>
      <c r="U18" s="44">
        <v>1</v>
      </c>
      <c r="V18" s="45">
        <v>304</v>
      </c>
      <c r="W18" s="45">
        <v>0.100257</v>
      </c>
      <c r="X18" s="45">
        <v>0.00049</v>
      </c>
      <c r="Y18" s="45">
        <v>0.004158</v>
      </c>
      <c r="Z18" s="45">
        <v>0</v>
      </c>
      <c r="AA18" s="45">
        <v>0</v>
      </c>
      <c r="AB18" s="66">
        <v>18</v>
      </c>
      <c r="AC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 s="67"/>
      <c r="AE18" t="s">
        <v>1555</v>
      </c>
      <c r="AF18" s="74" t="s">
        <v>1323</v>
      </c>
      <c r="AG18">
        <v>200620</v>
      </c>
      <c r="AH18">
        <v>1773</v>
      </c>
      <c r="AI18">
        <v>28182</v>
      </c>
      <c r="AJ18">
        <v>26</v>
      </c>
      <c r="AK18">
        <v>105427</v>
      </c>
      <c r="AL18">
        <v>5419</v>
      </c>
      <c r="AM18" t="b">
        <v>0</v>
      </c>
      <c r="AN18" s="73">
        <v>44169.56554398148</v>
      </c>
      <c r="AO18" t="s">
        <v>1942</v>
      </c>
      <c r="AP18" t="s">
        <v>2040</v>
      </c>
      <c r="AW18">
        <v>1.72687293113604E+18</v>
      </c>
      <c r="AY18" t="b">
        <v>1</v>
      </c>
      <c r="BB18" t="b">
        <v>0</v>
      </c>
      <c r="BC18" t="b">
        <v>0</v>
      </c>
      <c r="BD18" t="b">
        <v>1</v>
      </c>
      <c r="BE18" t="b">
        <v>0</v>
      </c>
      <c r="BF18" t="b">
        <v>1</v>
      </c>
      <c r="BG18" t="b">
        <v>0</v>
      </c>
      <c r="BH18" t="b">
        <v>0</v>
      </c>
      <c r="BI18" s="76" t="str">
        <f>HYPERLINK("https://pbs.twimg.com/profile_banners/1334853481019056128/1701184923")</f>
        <v>https://pbs.twimg.com/profile_banners/1334853481019056128/1701184923</v>
      </c>
      <c r="BK18" t="s">
        <v>2343</v>
      </c>
      <c r="BL18" t="b">
        <v>0</v>
      </c>
      <c r="BN18" t="s">
        <v>66</v>
      </c>
      <c r="BO18" t="s">
        <v>2345</v>
      </c>
      <c r="BP18" s="76" t="str">
        <f>HYPERLINK("https://twitter.com/mdy_asmara1701")</f>
        <v>https://twitter.com/mdy_asmara1701</v>
      </c>
      <c r="BQ18" s="44" t="s">
        <v>2406</v>
      </c>
      <c r="BR18" s="44" t="s">
        <v>2406</v>
      </c>
      <c r="BS18" s="44" t="s">
        <v>716</v>
      </c>
      <c r="BT18" s="44" t="s">
        <v>716</v>
      </c>
      <c r="BU18" s="44"/>
      <c r="BV18" s="44"/>
      <c r="BW18" s="95" t="s">
        <v>2432</v>
      </c>
      <c r="BX18" s="95" t="s">
        <v>2432</v>
      </c>
      <c r="BY18" s="95" t="s">
        <v>2489</v>
      </c>
      <c r="BZ18" s="95" t="s">
        <v>2489</v>
      </c>
      <c r="CA18" s="95">
        <v>0</v>
      </c>
      <c r="CB18" s="98">
        <v>0</v>
      </c>
      <c r="CC18" s="95">
        <v>0</v>
      </c>
      <c r="CD18" s="98">
        <v>0</v>
      </c>
      <c r="CE18" s="95">
        <v>0</v>
      </c>
      <c r="CF18" s="98">
        <v>0</v>
      </c>
      <c r="CG18" s="95">
        <v>16</v>
      </c>
      <c r="CH18" s="98">
        <v>100</v>
      </c>
      <c r="CI18" s="95">
        <v>16</v>
      </c>
      <c r="CJ18" s="116" t="str">
        <f>REPLACE(INDEX(GroupVertices[Group],MATCH("~"&amp;Vertices[[#This Row],[Vertex]],GroupVertices[Vertex],0)),1,1,"")</f>
        <v>12</v>
      </c>
      <c r="CK18" s="95" t="s">
        <v>2406</v>
      </c>
      <c r="CL18" s="95" t="s">
        <v>2406</v>
      </c>
      <c r="CM18" s="95"/>
      <c r="CN18" s="95"/>
      <c r="CO18" s="2"/>
    </row>
    <row r="19" spans="1:93" ht="41.45" customHeight="1">
      <c r="A19" s="59" t="s">
        <v>322</v>
      </c>
      <c r="C19" s="60"/>
      <c r="D19" s="60" t="s">
        <v>64</v>
      </c>
      <c r="E19" s="61">
        <v>10</v>
      </c>
      <c r="F19" s="63"/>
      <c r="G19" s="92" t="str">
        <f>HYPERLINK("https://pbs.twimg.com/profile_images/1371238762185854983/ll_44DLi_normal.jpg")</f>
        <v>https://pbs.twimg.com/profile_images/1371238762185854983/ll_44DLi_normal.jpg</v>
      </c>
      <c r="H19" s="60"/>
      <c r="I19" s="64" t="str">
        <f>Vertices[[#This Row],[Vertex]]</f>
        <v>fahrihamzah</v>
      </c>
      <c r="J19" s="65"/>
      <c r="K19" s="65"/>
      <c r="L19" s="64"/>
      <c r="M19" s="68"/>
      <c r="N19" s="69">
        <v>7655.998046875</v>
      </c>
      <c r="O19" s="69">
        <v>3899.674072265625</v>
      </c>
      <c r="P19" s="70"/>
      <c r="Q19" s="71"/>
      <c r="R19" s="71"/>
      <c r="S19" s="78"/>
      <c r="T19" s="44">
        <v>3</v>
      </c>
      <c r="U19" s="44">
        <v>1</v>
      </c>
      <c r="V19" s="45">
        <v>4</v>
      </c>
      <c r="W19" s="45">
        <v>0.008721</v>
      </c>
      <c r="X19" s="45">
        <v>0</v>
      </c>
      <c r="Y19" s="45">
        <v>0.004326</v>
      </c>
      <c r="Z19" s="45">
        <v>0</v>
      </c>
      <c r="AA19" s="45">
        <v>0</v>
      </c>
      <c r="AB19" s="66">
        <v>19</v>
      </c>
      <c r="AC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 s="67"/>
      <c r="AE19" t="s">
        <v>1769</v>
      </c>
      <c r="AF19" s="74" t="s">
        <v>1381</v>
      </c>
      <c r="AG19">
        <v>1598155</v>
      </c>
      <c r="AH19">
        <v>2618</v>
      </c>
      <c r="AI19">
        <v>77626</v>
      </c>
      <c r="AJ19">
        <v>878</v>
      </c>
      <c r="AK19">
        <v>76</v>
      </c>
      <c r="AL19">
        <v>4411</v>
      </c>
      <c r="AM19" t="b">
        <v>0</v>
      </c>
      <c r="AN19" s="73">
        <v>40245.17456018519</v>
      </c>
      <c r="AO19" t="s">
        <v>1945</v>
      </c>
      <c r="AP19" t="s">
        <v>2233</v>
      </c>
      <c r="AQ19" s="76" t="str">
        <f>HYPERLINK("https://t.co/f6DOdUnnj5")</f>
        <v>https://t.co/f6DOdUnnj5</v>
      </c>
      <c r="AR19" s="76" t="str">
        <f>HYPERLINK("http://fahrihamzah.com")</f>
        <v>http://fahrihamzah.com</v>
      </c>
      <c r="AS19" t="s">
        <v>2320</v>
      </c>
      <c r="AX19" s="76" t="str">
        <f>HYPERLINK("https://t.co/f6DOdUnnj5")</f>
        <v>https://t.co/f6DOdUnnj5</v>
      </c>
      <c r="AY19" t="b">
        <v>1</v>
      </c>
      <c r="BA19" t="b">
        <v>1</v>
      </c>
      <c r="BB19" t="b">
        <v>0</v>
      </c>
      <c r="BC19" t="b">
        <v>0</v>
      </c>
      <c r="BD19" t="b">
        <v>0</v>
      </c>
      <c r="BE19" t="b">
        <v>0</v>
      </c>
      <c r="BF19" t="b">
        <v>1</v>
      </c>
      <c r="BG19" t="b">
        <v>0</v>
      </c>
      <c r="BH19" t="b">
        <v>0</v>
      </c>
      <c r="BI19" s="76" t="str">
        <f>HYPERLINK("https://pbs.twimg.com/profile_banners/120968478/1686023403")</f>
        <v>https://pbs.twimg.com/profile_banners/120968478/1686023403</v>
      </c>
      <c r="BK19" t="s">
        <v>2343</v>
      </c>
      <c r="BL19" t="b">
        <v>1</v>
      </c>
      <c r="BN19" t="s">
        <v>66</v>
      </c>
      <c r="BO19" t="s">
        <v>2345</v>
      </c>
      <c r="BP19" s="76" t="str">
        <f>HYPERLINK("https://twitter.com/fahrihamzah")</f>
        <v>https://twitter.com/fahrihamzah</v>
      </c>
      <c r="BQ19" s="44"/>
      <c r="BR19" s="44"/>
      <c r="BS19" s="44"/>
      <c r="BT19" s="44"/>
      <c r="BU19" s="44"/>
      <c r="BV19" s="44"/>
      <c r="BW19" s="95" t="s">
        <v>2465</v>
      </c>
      <c r="BX19" s="95" t="s">
        <v>2465</v>
      </c>
      <c r="BY19" s="95" t="s">
        <v>2564</v>
      </c>
      <c r="BZ19" s="95" t="s">
        <v>2564</v>
      </c>
      <c r="CA19" s="95">
        <v>3</v>
      </c>
      <c r="CB19" s="98">
        <v>7.317073170731708</v>
      </c>
      <c r="CC19" s="95">
        <v>0</v>
      </c>
      <c r="CD19" s="98">
        <v>0</v>
      </c>
      <c r="CE19" s="95">
        <v>0</v>
      </c>
      <c r="CF19" s="98">
        <v>0</v>
      </c>
      <c r="CG19" s="95">
        <v>38</v>
      </c>
      <c r="CH19" s="98">
        <v>92.6829268292683</v>
      </c>
      <c r="CI19" s="95">
        <v>41</v>
      </c>
      <c r="CJ19" s="116" t="str">
        <f>REPLACE(INDEX(GroupVertices[Group],MATCH("~"&amp;Vertices[[#This Row],[Vertex]],GroupVertices[Vertex],0)),1,1,"")</f>
        <v>18</v>
      </c>
      <c r="CK19" s="95"/>
      <c r="CL19" s="95"/>
      <c r="CM19" s="95"/>
      <c r="CN19" s="95"/>
      <c r="CO19" s="2"/>
    </row>
    <row r="20" spans="1:93" ht="41.45" customHeight="1">
      <c r="A20" s="59" t="s">
        <v>291</v>
      </c>
      <c r="C20" s="60"/>
      <c r="D20" s="60" t="s">
        <v>64</v>
      </c>
      <c r="E20" s="61">
        <v>6.862902905357387</v>
      </c>
      <c r="F20" s="63"/>
      <c r="G20" s="92" t="str">
        <f>HYPERLINK("https://pbs.twimg.com/profile_images/1566765240179499010/TFlWzTGL_normal.jpg")</f>
        <v>https://pbs.twimg.com/profile_images/1566765240179499010/TFlWzTGL_normal.jpg</v>
      </c>
      <c r="H20" s="60"/>
      <c r="I20" s="64" t="str">
        <f>Vertices[[#This Row],[Vertex]]</f>
        <v>manisewidiarti</v>
      </c>
      <c r="J20" s="65"/>
      <c r="K20" s="65"/>
      <c r="L20" s="64"/>
      <c r="M20" s="68"/>
      <c r="N20" s="69">
        <v>7493.89111328125</v>
      </c>
      <c r="O20" s="69">
        <v>6575.9189453125</v>
      </c>
      <c r="P20" s="70"/>
      <c r="Q20" s="71"/>
      <c r="R20" s="71"/>
      <c r="S20" s="78"/>
      <c r="T20" s="44">
        <v>2</v>
      </c>
      <c r="U20" s="44">
        <v>2</v>
      </c>
      <c r="V20" s="45">
        <v>8584</v>
      </c>
      <c r="W20" s="45">
        <v>0.150969</v>
      </c>
      <c r="X20" s="45">
        <v>0.172868</v>
      </c>
      <c r="Y20" s="45">
        <v>0.003664</v>
      </c>
      <c r="Z20" s="45">
        <v>0</v>
      </c>
      <c r="AA20" s="45">
        <v>0</v>
      </c>
      <c r="AB20" s="66">
        <v>20</v>
      </c>
      <c r="AC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 s="67"/>
      <c r="AE20" t="s">
        <v>1726</v>
      </c>
      <c r="AF20" s="74" t="s">
        <v>1450</v>
      </c>
      <c r="AG20">
        <v>2977</v>
      </c>
      <c r="AH20">
        <v>1205</v>
      </c>
      <c r="AI20">
        <v>43719</v>
      </c>
      <c r="AJ20">
        <v>1</v>
      </c>
      <c r="AK20">
        <v>36883</v>
      </c>
      <c r="AL20">
        <v>5235</v>
      </c>
      <c r="AM20" t="b">
        <v>0</v>
      </c>
      <c r="AN20" s="73">
        <v>43856.093877314815</v>
      </c>
      <c r="AP20" t="s">
        <v>2192</v>
      </c>
      <c r="AY20" t="b">
        <v>0</v>
      </c>
      <c r="BB20" t="b">
        <v>0</v>
      </c>
      <c r="BC20" t="b">
        <v>1</v>
      </c>
      <c r="BD20" t="b">
        <v>1</v>
      </c>
      <c r="BE20" t="b">
        <v>0</v>
      </c>
      <c r="BF20" t="b">
        <v>1</v>
      </c>
      <c r="BG20" t="b">
        <v>0</v>
      </c>
      <c r="BH20" t="b">
        <v>0</v>
      </c>
      <c r="BK20" t="s">
        <v>2343</v>
      </c>
      <c r="BL20" t="b">
        <v>0</v>
      </c>
      <c r="BN20" t="s">
        <v>66</v>
      </c>
      <c r="BO20" t="s">
        <v>2345</v>
      </c>
      <c r="BP20" s="76" t="str">
        <f>HYPERLINK("https://twitter.com/manisewidiarti")</f>
        <v>https://twitter.com/manisewidiarti</v>
      </c>
      <c r="BQ20" s="44"/>
      <c r="BR20" s="44"/>
      <c r="BS20" s="44"/>
      <c r="BT20" s="44"/>
      <c r="BU20" s="44" t="s">
        <v>2419</v>
      </c>
      <c r="BV20" s="44" t="s">
        <v>2419</v>
      </c>
      <c r="BW20" s="95" t="s">
        <v>11414</v>
      </c>
      <c r="BX20" s="95" t="s">
        <v>2477</v>
      </c>
      <c r="BY20" s="95" t="s">
        <v>2539</v>
      </c>
      <c r="BZ20" s="95" t="s">
        <v>2586</v>
      </c>
      <c r="CA20" s="95">
        <v>8</v>
      </c>
      <c r="CB20" s="98">
        <v>23.529411764705884</v>
      </c>
      <c r="CC20" s="95">
        <v>2</v>
      </c>
      <c r="CD20" s="98">
        <v>5.882352941176471</v>
      </c>
      <c r="CE20" s="95">
        <v>0</v>
      </c>
      <c r="CF20" s="98">
        <v>0</v>
      </c>
      <c r="CG20" s="95">
        <v>24</v>
      </c>
      <c r="CH20" s="98">
        <v>70.58823529411765</v>
      </c>
      <c r="CI20" s="95">
        <v>34</v>
      </c>
      <c r="CJ20" s="116" t="str">
        <f>REPLACE(INDEX(GroupVertices[Group],MATCH("~"&amp;Vertices[[#This Row],[Vertex]],GroupVertices[Vertex],0)),1,1,"")</f>
        <v>19</v>
      </c>
      <c r="CK20" s="95"/>
      <c r="CL20" s="95"/>
      <c r="CM20" s="95" t="s">
        <v>2419</v>
      </c>
      <c r="CN20" s="95" t="s">
        <v>2419</v>
      </c>
      <c r="CO20" s="2"/>
    </row>
    <row r="21" spans="1:93" ht="41.45" customHeight="1">
      <c r="A21" s="59" t="s">
        <v>330</v>
      </c>
      <c r="C21" s="60"/>
      <c r="D21" s="60" t="s">
        <v>64</v>
      </c>
      <c r="E21" s="61">
        <v>6.862902905357387</v>
      </c>
      <c r="F21" s="63"/>
      <c r="G21" s="92" t="str">
        <f>HYPERLINK("https://pbs.twimg.com/profile_images/1580466468629594112/Q-zcV6aQ_normal.jpg")</f>
        <v>https://pbs.twimg.com/profile_images/1580466468629594112/Q-zcV6aQ_normal.jpg</v>
      </c>
      <c r="H21" s="60"/>
      <c r="I21" s="64" t="str">
        <f>Vertices[[#This Row],[Vertex]]</f>
        <v>tempodotco</v>
      </c>
      <c r="J21" s="65"/>
      <c r="K21" s="65"/>
      <c r="L21" s="64"/>
      <c r="M21" s="68"/>
      <c r="N21" s="69">
        <v>4672.978515625</v>
      </c>
      <c r="O21" s="69">
        <v>6671.068359375</v>
      </c>
      <c r="P21" s="70"/>
      <c r="Q21" s="71"/>
      <c r="R21" s="71"/>
      <c r="S21" s="78"/>
      <c r="T21" s="44">
        <v>2</v>
      </c>
      <c r="U21" s="44">
        <v>1</v>
      </c>
      <c r="V21" s="45">
        <v>0</v>
      </c>
      <c r="W21" s="45">
        <v>0.144709</v>
      </c>
      <c r="X21" s="45">
        <v>0.005303</v>
      </c>
      <c r="Y21" s="45">
        <v>0.003615</v>
      </c>
      <c r="Z21" s="45">
        <v>0</v>
      </c>
      <c r="AA21" s="45">
        <v>0</v>
      </c>
      <c r="AB21" s="66">
        <v>21</v>
      </c>
      <c r="AC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 s="67"/>
      <c r="AE21" t="s">
        <v>708</v>
      </c>
      <c r="AF21" s="74" t="s">
        <v>1915</v>
      </c>
      <c r="AG21">
        <v>2209887</v>
      </c>
      <c r="AH21">
        <v>28</v>
      </c>
      <c r="AI21">
        <v>1256926</v>
      </c>
      <c r="AJ21">
        <v>3415</v>
      </c>
      <c r="AK21">
        <v>742</v>
      </c>
      <c r="AL21">
        <v>22179</v>
      </c>
      <c r="AM21" t="b">
        <v>0</v>
      </c>
      <c r="AN21" s="73">
        <v>39797.162673611114</v>
      </c>
      <c r="AO21" t="s">
        <v>996</v>
      </c>
      <c r="AP21" t="s">
        <v>2237</v>
      </c>
      <c r="AQ21" s="76" t="str">
        <f>HYPERLINK("https://t.co/aR6kgUM5in")</f>
        <v>https://t.co/aR6kgUM5in</v>
      </c>
      <c r="AR21" s="76" t="str">
        <f>HYPERLINK("http://tempo.co")</f>
        <v>http://tempo.co</v>
      </c>
      <c r="AS21" t="s">
        <v>708</v>
      </c>
      <c r="AT21" s="76" t="str">
        <f>HYPERLINK("https://t.co/aR6kgUM5in")</f>
        <v>https://t.co/aR6kgUM5in</v>
      </c>
      <c r="AU21" s="76" t="str">
        <f>HYPERLINK("http://tempo.co")</f>
        <v>http://tempo.co</v>
      </c>
      <c r="AV21" t="s">
        <v>708</v>
      </c>
      <c r="AW21">
        <v>1.72936839247661E+18</v>
      </c>
      <c r="AX21" s="76" t="str">
        <f>HYPERLINK("https://t.co/aR6kgUM5in")</f>
        <v>https://t.co/aR6kgUM5in</v>
      </c>
      <c r="AY21" t="b">
        <v>1</v>
      </c>
      <c r="BB21" t="b">
        <v>1</v>
      </c>
      <c r="BC21" t="b">
        <v>1</v>
      </c>
      <c r="BD21" t="b">
        <v>0</v>
      </c>
      <c r="BE21" t="b">
        <v>0</v>
      </c>
      <c r="BF21" t="b">
        <v>1</v>
      </c>
      <c r="BG21" t="b">
        <v>0</v>
      </c>
      <c r="BH21" t="b">
        <v>0</v>
      </c>
      <c r="BI21" s="76" t="str">
        <f>HYPERLINK("https://pbs.twimg.com/profile_banners/18129942/1664552448")</f>
        <v>https://pbs.twimg.com/profile_banners/18129942/1664552448</v>
      </c>
      <c r="BK21" t="s">
        <v>2344</v>
      </c>
      <c r="BL21" t="b">
        <v>0</v>
      </c>
      <c r="BN21" t="s">
        <v>66</v>
      </c>
      <c r="BO21" t="s">
        <v>2345</v>
      </c>
      <c r="BP21" s="76" t="str">
        <f>HYPERLINK("https://twitter.com/tempodotco")</f>
        <v>https://twitter.com/tempodotco</v>
      </c>
      <c r="BQ21" s="44" t="s">
        <v>2350</v>
      </c>
      <c r="BR21" s="44" t="s">
        <v>2350</v>
      </c>
      <c r="BS21" s="44" t="s">
        <v>720</v>
      </c>
      <c r="BT21" s="44" t="s">
        <v>720</v>
      </c>
      <c r="BU21" s="44" t="s">
        <v>704</v>
      </c>
      <c r="BV21" s="44" t="s">
        <v>704</v>
      </c>
      <c r="BW21" s="95" t="s">
        <v>2468</v>
      </c>
      <c r="BX21" s="95" t="s">
        <v>2468</v>
      </c>
      <c r="BY21" s="95" t="s">
        <v>2570</v>
      </c>
      <c r="BZ21" s="95" t="s">
        <v>2570</v>
      </c>
      <c r="CA21" s="95">
        <v>1</v>
      </c>
      <c r="CB21" s="98">
        <v>5</v>
      </c>
      <c r="CC21" s="95">
        <v>0</v>
      </c>
      <c r="CD21" s="98">
        <v>0</v>
      </c>
      <c r="CE21" s="95">
        <v>0</v>
      </c>
      <c r="CF21" s="98">
        <v>0</v>
      </c>
      <c r="CG21" s="95">
        <v>19</v>
      </c>
      <c r="CH21" s="98">
        <v>95</v>
      </c>
      <c r="CI21" s="95">
        <v>20</v>
      </c>
      <c r="CJ21" s="116" t="str">
        <f>REPLACE(INDEX(GroupVertices[Group],MATCH("~"&amp;Vertices[[#This Row],[Vertex]],GroupVertices[Vertex],0)),1,1,"")</f>
        <v>5</v>
      </c>
      <c r="CK21" s="95" t="s">
        <v>2350</v>
      </c>
      <c r="CL21" s="95" t="s">
        <v>2350</v>
      </c>
      <c r="CM21" s="95" t="s">
        <v>704</v>
      </c>
      <c r="CN21" s="95" t="s">
        <v>704</v>
      </c>
      <c r="CO21" s="2"/>
    </row>
    <row r="22" spans="1:93" ht="41.45" customHeight="1">
      <c r="A22" s="59" t="s">
        <v>331</v>
      </c>
      <c r="C22" s="60"/>
      <c r="D22" s="60" t="s">
        <v>64</v>
      </c>
      <c r="E22" s="61">
        <v>6.862902905357387</v>
      </c>
      <c r="F22" s="63"/>
      <c r="G22" s="92" t="str">
        <f>HYPERLINK("https://pbs.twimg.com/profile_images/744161620062941185/L4pSOdwB_normal.jpg")</f>
        <v>https://pbs.twimg.com/profile_images/744161620062941185/L4pSOdwB_normal.jpg</v>
      </c>
      <c r="H22" s="60"/>
      <c r="I22" s="64" t="str">
        <f>Vertices[[#This Row],[Vertex]]</f>
        <v>alvinlie21</v>
      </c>
      <c r="J22" s="65"/>
      <c r="K22" s="65"/>
      <c r="L22" s="64"/>
      <c r="M22" s="68"/>
      <c r="N22" s="69">
        <v>4422.7861328125</v>
      </c>
      <c r="O22" s="69">
        <v>5134.6220703125</v>
      </c>
      <c r="P22" s="70"/>
      <c r="Q22" s="71"/>
      <c r="R22" s="71"/>
      <c r="S22" s="78"/>
      <c r="T22" s="44">
        <v>2</v>
      </c>
      <c r="U22" s="44">
        <v>1</v>
      </c>
      <c r="V22" s="45">
        <v>0</v>
      </c>
      <c r="W22" s="45">
        <v>0.144709</v>
      </c>
      <c r="X22" s="45">
        <v>0.005303</v>
      </c>
      <c r="Y22" s="45">
        <v>0.003615</v>
      </c>
      <c r="Z22" s="45">
        <v>0</v>
      </c>
      <c r="AA22" s="45">
        <v>0</v>
      </c>
      <c r="AB22" s="66">
        <v>22</v>
      </c>
      <c r="AC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 s="67"/>
      <c r="AE22" t="s">
        <v>1777</v>
      </c>
      <c r="AF22" s="74" t="s">
        <v>1916</v>
      </c>
      <c r="AG22">
        <v>75561</v>
      </c>
      <c r="AH22">
        <v>479</v>
      </c>
      <c r="AI22">
        <v>72584</v>
      </c>
      <c r="AJ22">
        <v>107</v>
      </c>
      <c r="AK22">
        <v>39596</v>
      </c>
      <c r="AL22">
        <v>4608</v>
      </c>
      <c r="AM22" t="b">
        <v>0</v>
      </c>
      <c r="AN22" s="73">
        <v>39915.55930555556</v>
      </c>
      <c r="AO22" t="s">
        <v>1957</v>
      </c>
      <c r="AP22" t="s">
        <v>2238</v>
      </c>
      <c r="AQ22" s="76" t="str">
        <f>HYPERLINK("https://t.co/Ubqwg65I9t")</f>
        <v>https://t.co/Ubqwg65I9t</v>
      </c>
      <c r="AR22" s="76" t="str">
        <f>HYPERLINK("http://www.alvinlie.com")</f>
        <v>http://www.alvinlie.com</v>
      </c>
      <c r="AS22" t="s">
        <v>2323</v>
      </c>
      <c r="AW22">
        <v>1.04528331952333E+18</v>
      </c>
      <c r="AX22" s="76" t="str">
        <f>HYPERLINK("https://t.co/Ubqwg65I9t")</f>
        <v>https://t.co/Ubqwg65I9t</v>
      </c>
      <c r="AY22" t="b">
        <v>1</v>
      </c>
      <c r="BB22" t="b">
        <v>1</v>
      </c>
      <c r="BC22" t="b">
        <v>0</v>
      </c>
      <c r="BD22" t="b">
        <v>0</v>
      </c>
      <c r="BE22" t="b">
        <v>0</v>
      </c>
      <c r="BF22" t="b">
        <v>1</v>
      </c>
      <c r="BG22" t="b">
        <v>0</v>
      </c>
      <c r="BH22" t="b">
        <v>0</v>
      </c>
      <c r="BI22" s="76" t="str">
        <f>HYPERLINK("https://pbs.twimg.com/profile_banners/30648872/1474508595")</f>
        <v>https://pbs.twimg.com/profile_banners/30648872/1474508595</v>
      </c>
      <c r="BK22" t="s">
        <v>2343</v>
      </c>
      <c r="BL22" t="b">
        <v>0</v>
      </c>
      <c r="BN22" t="s">
        <v>66</v>
      </c>
      <c r="BO22" t="s">
        <v>2345</v>
      </c>
      <c r="BP22" s="76" t="str">
        <f>HYPERLINK("https://twitter.com/alvinlie21")</f>
        <v>https://twitter.com/alvinlie21</v>
      </c>
      <c r="BQ22" s="44" t="s">
        <v>2349</v>
      </c>
      <c r="BR22" s="44" t="s">
        <v>2349</v>
      </c>
      <c r="BS22" s="44" t="s">
        <v>712</v>
      </c>
      <c r="BT22" s="44" t="s">
        <v>712</v>
      </c>
      <c r="BU22" s="44"/>
      <c r="BV22" s="44"/>
      <c r="BW22" s="95" t="s">
        <v>2469</v>
      </c>
      <c r="BX22" s="95" t="s">
        <v>2469</v>
      </c>
      <c r="BY22" s="95" t="s">
        <v>2571</v>
      </c>
      <c r="BZ22" s="95" t="s">
        <v>2571</v>
      </c>
      <c r="CA22" s="95">
        <v>0</v>
      </c>
      <c r="CB22" s="98">
        <v>0</v>
      </c>
      <c r="CC22" s="95">
        <v>0</v>
      </c>
      <c r="CD22" s="98">
        <v>0</v>
      </c>
      <c r="CE22" s="95">
        <v>0</v>
      </c>
      <c r="CF22" s="98">
        <v>0</v>
      </c>
      <c r="CG22" s="95">
        <v>10</v>
      </c>
      <c r="CH22" s="98">
        <v>100</v>
      </c>
      <c r="CI22" s="95">
        <v>10</v>
      </c>
      <c r="CJ22" s="116" t="str">
        <f>REPLACE(INDEX(GroupVertices[Group],MATCH("~"&amp;Vertices[[#This Row],[Vertex]],GroupVertices[Vertex],0)),1,1,"")</f>
        <v>5</v>
      </c>
      <c r="CK22" s="95" t="s">
        <v>2349</v>
      </c>
      <c r="CL22" s="95" t="s">
        <v>2349</v>
      </c>
      <c r="CM22" s="95"/>
      <c r="CN22" s="95"/>
      <c r="CO22" s="2"/>
    </row>
    <row r="23" spans="1:93" ht="41.45" customHeight="1">
      <c r="A23" s="59" t="s">
        <v>340</v>
      </c>
      <c r="C23" s="60"/>
      <c r="D23" s="60" t="s">
        <v>64</v>
      </c>
      <c r="E23" s="61">
        <v>6.862902905357387</v>
      </c>
      <c r="F23" s="63"/>
      <c r="G23" s="92" t="str">
        <f>HYPERLINK("https://pbs.twimg.com/profile_images/1723287280402726912/rdQNTyJv_normal.jpg")</f>
        <v>https://pbs.twimg.com/profile_images/1723287280402726912/rdQNTyJv_normal.jpg</v>
      </c>
      <c r="H23" s="60"/>
      <c r="I23" s="64" t="str">
        <f>Vertices[[#This Row],[Vertex]]</f>
        <v>nenkmonica</v>
      </c>
      <c r="J23" s="65"/>
      <c r="K23" s="65"/>
      <c r="L23" s="64"/>
      <c r="M23" s="68"/>
      <c r="N23" s="69">
        <v>4348.732421875</v>
      </c>
      <c r="O23" s="69">
        <v>9323.3916015625</v>
      </c>
      <c r="P23" s="70"/>
      <c r="Q23" s="71"/>
      <c r="R23" s="71"/>
      <c r="S23" s="78"/>
      <c r="T23" s="44">
        <v>2</v>
      </c>
      <c r="U23" s="44">
        <v>1</v>
      </c>
      <c r="V23" s="45">
        <v>0</v>
      </c>
      <c r="W23" s="45">
        <v>0.144709</v>
      </c>
      <c r="X23" s="45">
        <v>0.005303</v>
      </c>
      <c r="Y23" s="45">
        <v>0.003615</v>
      </c>
      <c r="Z23" s="45">
        <v>0</v>
      </c>
      <c r="AA23" s="45">
        <v>0</v>
      </c>
      <c r="AB23" s="66">
        <v>23</v>
      </c>
      <c r="AC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 s="67"/>
      <c r="AE23" t="s">
        <v>1781</v>
      </c>
      <c r="AF23" s="74" t="s">
        <v>1476</v>
      </c>
      <c r="AG23">
        <v>67293</v>
      </c>
      <c r="AH23">
        <v>15409</v>
      </c>
      <c r="AI23">
        <v>21328</v>
      </c>
      <c r="AJ23">
        <v>16</v>
      </c>
      <c r="AK23">
        <v>37361</v>
      </c>
      <c r="AL23">
        <v>5095</v>
      </c>
      <c r="AM23" t="b">
        <v>0</v>
      </c>
      <c r="AN23" s="73">
        <v>43356.771782407406</v>
      </c>
      <c r="AO23" t="s">
        <v>2009</v>
      </c>
      <c r="AP23" t="s">
        <v>2242</v>
      </c>
      <c r="AY23" t="b">
        <v>0</v>
      </c>
      <c r="BB23" t="b">
        <v>0</v>
      </c>
      <c r="BC23" t="b">
        <v>0</v>
      </c>
      <c r="BD23" t="b">
        <v>1</v>
      </c>
      <c r="BE23" t="b">
        <v>0</v>
      </c>
      <c r="BF23" t="b">
        <v>1</v>
      </c>
      <c r="BG23" t="b">
        <v>0</v>
      </c>
      <c r="BH23" t="b">
        <v>0</v>
      </c>
      <c r="BI23" s="76" t="str">
        <f>HYPERLINK("https://pbs.twimg.com/profile_banners/1040306964100669440/1697799574")</f>
        <v>https://pbs.twimg.com/profile_banners/1040306964100669440/1697799574</v>
      </c>
      <c r="BK23" t="s">
        <v>2343</v>
      </c>
      <c r="BL23" t="b">
        <v>0</v>
      </c>
      <c r="BN23" t="s">
        <v>66</v>
      </c>
      <c r="BO23" t="s">
        <v>2345</v>
      </c>
      <c r="BP23" s="76" t="str">
        <f>HYPERLINK("https://twitter.com/nenkmonica")</f>
        <v>https://twitter.com/nenkmonica</v>
      </c>
      <c r="BQ23" s="44"/>
      <c r="BR23" s="44"/>
      <c r="BS23" s="44"/>
      <c r="BT23" s="44"/>
      <c r="BU23" s="44"/>
      <c r="BV23" s="44"/>
      <c r="BW23" s="95" t="s">
        <v>2471</v>
      </c>
      <c r="BX23" s="95" t="s">
        <v>2471</v>
      </c>
      <c r="BY23" s="95" t="s">
        <v>2573</v>
      </c>
      <c r="BZ23" s="95" t="s">
        <v>2573</v>
      </c>
      <c r="CA23" s="95">
        <v>0</v>
      </c>
      <c r="CB23" s="98">
        <v>0</v>
      </c>
      <c r="CC23" s="95">
        <v>2</v>
      </c>
      <c r="CD23" s="98">
        <v>14.285714285714286</v>
      </c>
      <c r="CE23" s="95">
        <v>0</v>
      </c>
      <c r="CF23" s="98">
        <v>0</v>
      </c>
      <c r="CG23" s="95">
        <v>12</v>
      </c>
      <c r="CH23" s="98">
        <v>85.71428571428571</v>
      </c>
      <c r="CI23" s="95">
        <v>14</v>
      </c>
      <c r="CJ23" s="116" t="str">
        <f>REPLACE(INDEX(GroupVertices[Group],MATCH("~"&amp;Vertices[[#This Row],[Vertex]],GroupVertices[Vertex],0)),1,1,"")</f>
        <v>5</v>
      </c>
      <c r="CK23" s="95"/>
      <c r="CL23" s="95"/>
      <c r="CM23" s="95"/>
      <c r="CN23" s="95"/>
      <c r="CO23" s="2"/>
    </row>
    <row r="24" spans="1:93" ht="41.45" customHeight="1">
      <c r="A24" s="59" t="s">
        <v>332</v>
      </c>
      <c r="C24" s="60"/>
      <c r="D24" s="60" t="s">
        <v>64</v>
      </c>
      <c r="E24" s="61">
        <v>6.862902905357387</v>
      </c>
      <c r="F24" s="63"/>
      <c r="G24" s="92" t="str">
        <f>HYPERLINK("https://pbs.twimg.com/profile_images/853071593538437120/yiK-9syp_normal.jpg")</f>
        <v>https://pbs.twimg.com/profile_images/853071593538437120/yiK-9syp_normal.jpg</v>
      </c>
      <c r="H24" s="60"/>
      <c r="I24" s="64" t="str">
        <f>Vertices[[#This Row],[Vertex]]</f>
        <v>hisyammochtar</v>
      </c>
      <c r="J24" s="65"/>
      <c r="K24" s="65"/>
      <c r="L24" s="64"/>
      <c r="M24" s="68"/>
      <c r="N24" s="69">
        <v>4655.91259765625</v>
      </c>
      <c r="O24" s="69">
        <v>7996.93701171875</v>
      </c>
      <c r="P24" s="70"/>
      <c r="Q24" s="71"/>
      <c r="R24" s="71"/>
      <c r="S24" s="78"/>
      <c r="T24" s="44">
        <v>2</v>
      </c>
      <c r="U24" s="44">
        <v>1</v>
      </c>
      <c r="V24" s="45">
        <v>0</v>
      </c>
      <c r="W24" s="45">
        <v>0.144709</v>
      </c>
      <c r="X24" s="45">
        <v>0.005303</v>
      </c>
      <c r="Y24" s="45">
        <v>0.003615</v>
      </c>
      <c r="Z24" s="45">
        <v>0</v>
      </c>
      <c r="AA24" s="45">
        <v>0</v>
      </c>
      <c r="AB24" s="66">
        <v>24</v>
      </c>
      <c r="AC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 s="67"/>
      <c r="AE24" t="s">
        <v>1778</v>
      </c>
      <c r="AF24" s="74" t="s">
        <v>1475</v>
      </c>
      <c r="AG24">
        <v>37421</v>
      </c>
      <c r="AH24">
        <v>4001</v>
      </c>
      <c r="AI24">
        <v>21061</v>
      </c>
      <c r="AJ24">
        <v>6</v>
      </c>
      <c r="AK24">
        <v>110979</v>
      </c>
      <c r="AL24">
        <v>776</v>
      </c>
      <c r="AM24" t="b">
        <v>0</v>
      </c>
      <c r="AN24" s="73">
        <v>42840.09599537037</v>
      </c>
      <c r="AP24" t="s">
        <v>2239</v>
      </c>
      <c r="AY24" t="b">
        <v>0</v>
      </c>
      <c r="BB24" t="b">
        <v>0</v>
      </c>
      <c r="BC24" t="b">
        <v>0</v>
      </c>
      <c r="BD24" t="b">
        <v>1</v>
      </c>
      <c r="BE24" t="b">
        <v>0</v>
      </c>
      <c r="BF24" t="b">
        <v>1</v>
      </c>
      <c r="BG24" t="b">
        <v>0</v>
      </c>
      <c r="BH24" t="b">
        <v>0</v>
      </c>
      <c r="BI24" s="76" t="str">
        <f>HYPERLINK("https://pbs.twimg.com/profile_banners/853069924956160000/1525598303")</f>
        <v>https://pbs.twimg.com/profile_banners/853069924956160000/1525598303</v>
      </c>
      <c r="BK24" t="s">
        <v>2343</v>
      </c>
      <c r="BL24" t="b">
        <v>0</v>
      </c>
      <c r="BN24" t="s">
        <v>66</v>
      </c>
      <c r="BO24" t="s">
        <v>2345</v>
      </c>
      <c r="BP24" s="76" t="str">
        <f>HYPERLINK("https://twitter.com/hisyammochtar")</f>
        <v>https://twitter.com/hisyammochtar</v>
      </c>
      <c r="BQ24" s="44"/>
      <c r="BR24" s="44"/>
      <c r="BS24" s="44"/>
      <c r="BT24" s="44"/>
      <c r="BU24" s="44"/>
      <c r="BV24" s="44"/>
      <c r="BW24" s="95" t="s">
        <v>2470</v>
      </c>
      <c r="BX24" s="95" t="s">
        <v>2470</v>
      </c>
      <c r="BY24" s="95" t="s">
        <v>2572</v>
      </c>
      <c r="BZ24" s="95" t="s">
        <v>2572</v>
      </c>
      <c r="CA24" s="95">
        <v>1</v>
      </c>
      <c r="CB24" s="98">
        <v>3.0303030303030303</v>
      </c>
      <c r="CC24" s="95">
        <v>0</v>
      </c>
      <c r="CD24" s="98">
        <v>0</v>
      </c>
      <c r="CE24" s="95">
        <v>0</v>
      </c>
      <c r="CF24" s="98">
        <v>0</v>
      </c>
      <c r="CG24" s="95">
        <v>32</v>
      </c>
      <c r="CH24" s="98">
        <v>96.96969696969697</v>
      </c>
      <c r="CI24" s="95">
        <v>33</v>
      </c>
      <c r="CJ24" s="116" t="str">
        <f>REPLACE(INDEX(GroupVertices[Group],MATCH("~"&amp;Vertices[[#This Row],[Vertex]],GroupVertices[Vertex],0)),1,1,"")</f>
        <v>5</v>
      </c>
      <c r="CK24" s="95"/>
      <c r="CL24" s="95"/>
      <c r="CM24" s="95"/>
      <c r="CN24" s="95"/>
      <c r="CO24" s="2"/>
    </row>
    <row r="25" spans="1:93" ht="41.45" customHeight="1">
      <c r="A25" s="79" t="s">
        <v>342</v>
      </c>
      <c r="C25" s="60"/>
      <c r="D25" s="60" t="s">
        <v>64</v>
      </c>
      <c r="E25" s="61">
        <v>6.862902905357387</v>
      </c>
      <c r="F25" s="63"/>
      <c r="G25" s="92" t="str">
        <f>HYPERLINK("https://pbs.twimg.com/profile_images/1374570082202841090/PqQm9fSZ_normal.jpg")</f>
        <v>https://pbs.twimg.com/profile_images/1374570082202841090/PqQm9fSZ_normal.jpg</v>
      </c>
      <c r="H25" s="60"/>
      <c r="I25" s="64" t="str">
        <f>Vertices[[#This Row],[Vertex]]</f>
        <v>raka_shiwie</v>
      </c>
      <c r="J25" s="65"/>
      <c r="K25" s="65"/>
      <c r="L25" s="64"/>
      <c r="M25" s="68"/>
      <c r="N25" s="69">
        <v>4589.41162109375</v>
      </c>
      <c r="O25" s="69">
        <v>5566.05029296875</v>
      </c>
      <c r="P25" s="70"/>
      <c r="Q25" s="71"/>
      <c r="R25" s="71"/>
      <c r="S25" s="78"/>
      <c r="T25" s="44">
        <v>2</v>
      </c>
      <c r="U25" s="44">
        <v>1</v>
      </c>
      <c r="V25" s="45">
        <v>0</v>
      </c>
      <c r="W25" s="45">
        <v>0.144709</v>
      </c>
      <c r="X25" s="45">
        <v>0.005303</v>
      </c>
      <c r="Y25" s="45">
        <v>0.003615</v>
      </c>
      <c r="Z25" s="45">
        <v>0</v>
      </c>
      <c r="AA25" s="45">
        <v>0</v>
      </c>
      <c r="AB25" s="66">
        <v>25</v>
      </c>
      <c r="AC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 s="91"/>
      <c r="AE25" t="s">
        <v>1782</v>
      </c>
      <c r="AF25" s="74" t="s">
        <v>1477</v>
      </c>
      <c r="AG25">
        <v>2169</v>
      </c>
      <c r="AH25">
        <v>2113</v>
      </c>
      <c r="AI25">
        <v>10741</v>
      </c>
      <c r="AJ25">
        <v>0</v>
      </c>
      <c r="AK25">
        <v>11489</v>
      </c>
      <c r="AL25">
        <v>1793</v>
      </c>
      <c r="AM25" t="b">
        <v>0</v>
      </c>
      <c r="AN25" s="73">
        <v>43985.12658564815</v>
      </c>
      <c r="AP25" t="s">
        <v>2243</v>
      </c>
      <c r="AW25">
        <v>1.54488691099618E+18</v>
      </c>
      <c r="AY25" t="b">
        <v>0</v>
      </c>
      <c r="BB25" t="b">
        <v>0</v>
      </c>
      <c r="BC25" t="b">
        <v>1</v>
      </c>
      <c r="BD25" t="b">
        <v>1</v>
      </c>
      <c r="BE25" t="b">
        <v>0</v>
      </c>
      <c r="BF25" t="b">
        <v>1</v>
      </c>
      <c r="BG25" t="b">
        <v>0</v>
      </c>
      <c r="BH25" t="b">
        <v>0</v>
      </c>
      <c r="BI25" s="76" t="str">
        <f>HYPERLINK("https://pbs.twimg.com/profile_banners/1268015036213030912/1634140477")</f>
        <v>https://pbs.twimg.com/profile_banners/1268015036213030912/1634140477</v>
      </c>
      <c r="BK25" t="s">
        <v>2343</v>
      </c>
      <c r="BL25" t="b">
        <v>0</v>
      </c>
      <c r="BN25" t="s">
        <v>66</v>
      </c>
      <c r="BO25" t="s">
        <v>2345</v>
      </c>
      <c r="BP25" s="76" t="str">
        <f>HYPERLINK("https://twitter.com/raka_shiwie")</f>
        <v>https://twitter.com/raka_shiwie</v>
      </c>
      <c r="BQ25" s="44"/>
      <c r="BR25" s="44"/>
      <c r="BS25" s="44"/>
      <c r="BT25" s="44"/>
      <c r="BU25" s="44"/>
      <c r="BV25" s="44"/>
      <c r="BW25" s="95" t="s">
        <v>2472</v>
      </c>
      <c r="BX25" s="95" t="s">
        <v>2472</v>
      </c>
      <c r="BY25" s="95" t="s">
        <v>2574</v>
      </c>
      <c r="BZ25" s="95" t="s">
        <v>2574</v>
      </c>
      <c r="CA25" s="95">
        <v>2</v>
      </c>
      <c r="CB25" s="98">
        <v>12.5</v>
      </c>
      <c r="CC25" s="95">
        <v>0</v>
      </c>
      <c r="CD25" s="98">
        <v>0</v>
      </c>
      <c r="CE25" s="95">
        <v>0</v>
      </c>
      <c r="CF25" s="98">
        <v>0</v>
      </c>
      <c r="CG25" s="95">
        <v>14</v>
      </c>
      <c r="CH25" s="98">
        <v>87.5</v>
      </c>
      <c r="CI25" s="95">
        <v>16</v>
      </c>
      <c r="CJ25" s="116" t="str">
        <f>REPLACE(INDEX(GroupVertices[Group],MATCH("~"&amp;Vertices[[#This Row],[Vertex]],GroupVertices[Vertex],0)),1,1,"")</f>
        <v>5</v>
      </c>
      <c r="CK25" s="95"/>
      <c r="CL25" s="95"/>
      <c r="CM25" s="95"/>
      <c r="CN25" s="95"/>
      <c r="CO25" s="2"/>
    </row>
    <row r="26" spans="1:93" ht="41.45" customHeight="1">
      <c r="A26" s="59" t="s">
        <v>388</v>
      </c>
      <c r="C26" s="60"/>
      <c r="D26" s="60" t="s">
        <v>64</v>
      </c>
      <c r="E26" s="61">
        <v>6.862902905357387</v>
      </c>
      <c r="F26" s="63"/>
      <c r="G26" s="92" t="str">
        <f>HYPERLINK("https://pbs.twimg.com/profile_images/1332973384871804930/stkc8CBA_normal.jpg")</f>
        <v>https://pbs.twimg.com/profile_images/1332973384871804930/stkc8CBA_normal.jpg</v>
      </c>
      <c r="H26" s="60"/>
      <c r="I26" s="64" t="str">
        <f>Vertices[[#This Row],[Vertex]]</f>
        <v>fpksdprri</v>
      </c>
      <c r="J26" s="65"/>
      <c r="K26" s="65"/>
      <c r="L26" s="64"/>
      <c r="M26" s="68"/>
      <c r="N26" s="69">
        <v>6492.9443359375</v>
      </c>
      <c r="O26" s="69">
        <v>2250.4951171875</v>
      </c>
      <c r="P26" s="70"/>
      <c r="Q26" s="71"/>
      <c r="R26" s="71"/>
      <c r="S26" s="78"/>
      <c r="T26" s="44">
        <v>2</v>
      </c>
      <c r="U26" s="44">
        <v>0</v>
      </c>
      <c r="V26" s="45">
        <v>0</v>
      </c>
      <c r="W26" s="45">
        <v>0.142214</v>
      </c>
      <c r="X26" s="45">
        <v>0.00551</v>
      </c>
      <c r="Y26" s="45">
        <v>0.003515</v>
      </c>
      <c r="Z26" s="45">
        <v>0.5</v>
      </c>
      <c r="AA26" s="45">
        <v>0</v>
      </c>
      <c r="AB26" s="66">
        <v>26</v>
      </c>
      <c r="AC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 s="67"/>
      <c r="AE26" t="s">
        <v>1637</v>
      </c>
      <c r="AF26" s="74" t="s">
        <v>1833</v>
      </c>
      <c r="AG26">
        <v>223632</v>
      </c>
      <c r="AH26">
        <v>88</v>
      </c>
      <c r="AI26">
        <v>55346</v>
      </c>
      <c r="AJ26">
        <v>160</v>
      </c>
      <c r="AK26">
        <v>11199</v>
      </c>
      <c r="AL26">
        <v>15168</v>
      </c>
      <c r="AM26" t="b">
        <v>0</v>
      </c>
      <c r="AN26" s="73">
        <v>40137.12048611111</v>
      </c>
      <c r="AO26" t="s">
        <v>1942</v>
      </c>
      <c r="AP26" t="s">
        <v>2110</v>
      </c>
      <c r="AQ26" s="76" t="str">
        <f>HYPERLINK("https://t.co/MoUsvcRCvq")</f>
        <v>https://t.co/MoUsvcRCvq</v>
      </c>
      <c r="AR26" s="76" t="str">
        <f>HYPERLINK("http://fraksi.pks.id")</f>
        <v>http://fraksi.pks.id</v>
      </c>
      <c r="AS26" t="s">
        <v>2287</v>
      </c>
      <c r="AW26">
        <v>1.7091844150192E+18</v>
      </c>
      <c r="AX26" s="76" t="str">
        <f>HYPERLINK("https://t.co/MoUsvcRCvq")</f>
        <v>https://t.co/MoUsvcRCvq</v>
      </c>
      <c r="AY26" t="b">
        <v>0</v>
      </c>
      <c r="BB26" t="b">
        <v>1</v>
      </c>
      <c r="BC26" t="b">
        <v>1</v>
      </c>
      <c r="BD26" t="b">
        <v>0</v>
      </c>
      <c r="BE26" t="b">
        <v>0</v>
      </c>
      <c r="BF26" t="b">
        <v>1</v>
      </c>
      <c r="BG26" t="b">
        <v>0</v>
      </c>
      <c r="BH26" t="b">
        <v>0</v>
      </c>
      <c r="BI26" s="76" t="str">
        <f>HYPERLINK("https://pbs.twimg.com/profile_banners/91255162/1607033494")</f>
        <v>https://pbs.twimg.com/profile_banners/91255162/1607033494</v>
      </c>
      <c r="BK26" t="s">
        <v>2343</v>
      </c>
      <c r="BL26" t="b">
        <v>0</v>
      </c>
      <c r="BN26" t="s">
        <v>65</v>
      </c>
      <c r="BO26" t="s">
        <v>2345</v>
      </c>
      <c r="BP26" s="76" t="str">
        <f>HYPERLINK("https://twitter.com/fpksdprri")</f>
        <v>https://twitter.com/fpksdprri</v>
      </c>
      <c r="BQ26" s="44"/>
      <c r="BR26" s="44"/>
      <c r="BS26" s="44"/>
      <c r="BT26" s="44"/>
      <c r="BU26" s="44"/>
      <c r="BV26" s="44"/>
      <c r="BW26" s="44"/>
      <c r="BX26" s="44"/>
      <c r="BY26" s="44"/>
      <c r="BZ26" s="44"/>
      <c r="CA26" s="44"/>
      <c r="CB26" s="45"/>
      <c r="CC26" s="44"/>
      <c r="CD26" s="45"/>
      <c r="CE26" s="44"/>
      <c r="CF26" s="45"/>
      <c r="CG26" s="44"/>
      <c r="CH26" s="45"/>
      <c r="CI26" s="44"/>
      <c r="CJ26" s="112" t="str">
        <f>REPLACE(INDEX(GroupVertices[Group],MATCH("~"&amp;Vertices[[#This Row],[Vertex]],GroupVertices[Vertex],0)),1,1,"")</f>
        <v>10</v>
      </c>
      <c r="CK26" s="44"/>
      <c r="CL26" s="44"/>
      <c r="CM26" s="44"/>
      <c r="CN26" s="44"/>
      <c r="CO26" s="2"/>
    </row>
    <row r="27" spans="1:93" ht="41.45" customHeight="1">
      <c r="A27" s="59" t="s">
        <v>395</v>
      </c>
      <c r="C27" s="60"/>
      <c r="D27" s="60" t="s">
        <v>64</v>
      </c>
      <c r="E27" s="61">
        <v>6.862902905357387</v>
      </c>
      <c r="F27" s="63"/>
      <c r="G27" s="92" t="str">
        <f>HYPERLINK("https://pbs.twimg.com/profile_images/1536523752447840256/ePU5yzwy_normal.jpg")</f>
        <v>https://pbs.twimg.com/profile_images/1536523752447840256/ePU5yzwy_normal.jpg</v>
      </c>
      <c r="H27" s="60"/>
      <c r="I27" s="64" t="str">
        <f>Vertices[[#This Row],[Vertex]]</f>
        <v>ridwankamil</v>
      </c>
      <c r="J27" s="65"/>
      <c r="K27" s="65"/>
      <c r="L27" s="64"/>
      <c r="M27" s="68"/>
      <c r="N27" s="69">
        <v>3549.613525390625</v>
      </c>
      <c r="O27" s="69">
        <v>5720.21630859375</v>
      </c>
      <c r="P27" s="70"/>
      <c r="Q27" s="71"/>
      <c r="R27" s="71"/>
      <c r="S27" s="78"/>
      <c r="T27" s="44">
        <v>2</v>
      </c>
      <c r="U27" s="44">
        <v>0</v>
      </c>
      <c r="V27" s="45">
        <v>532.550624</v>
      </c>
      <c r="W27" s="45">
        <v>0.136031</v>
      </c>
      <c r="X27" s="45">
        <v>0.007477</v>
      </c>
      <c r="Y27" s="45">
        <v>0.003488</v>
      </c>
      <c r="Z27" s="45">
        <v>0</v>
      </c>
      <c r="AA27" s="45">
        <v>0</v>
      </c>
      <c r="AB27" s="66">
        <v>27</v>
      </c>
      <c r="AC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 s="67"/>
      <c r="AE27" t="s">
        <v>1648</v>
      </c>
      <c r="AF27" s="74" t="s">
        <v>1840</v>
      </c>
      <c r="AG27">
        <v>5571554</v>
      </c>
      <c r="AH27">
        <v>2792</v>
      </c>
      <c r="AI27">
        <v>44756</v>
      </c>
      <c r="AJ27">
        <v>1534</v>
      </c>
      <c r="AK27">
        <v>21767</v>
      </c>
      <c r="AL27">
        <v>7366</v>
      </c>
      <c r="AM27" t="b">
        <v>0</v>
      </c>
      <c r="AN27" s="73">
        <v>40092.630219907405</v>
      </c>
      <c r="AO27" t="s">
        <v>1968</v>
      </c>
      <c r="AP27" t="s">
        <v>2121</v>
      </c>
      <c r="AY27" t="b">
        <v>1</v>
      </c>
      <c r="BA27" t="b">
        <v>1</v>
      </c>
      <c r="BB27" t="b">
        <v>0</v>
      </c>
      <c r="BC27" t="b">
        <v>0</v>
      </c>
      <c r="BD27" t="b">
        <v>0</v>
      </c>
      <c r="BE27" t="b">
        <v>0</v>
      </c>
      <c r="BF27" t="b">
        <v>0</v>
      </c>
      <c r="BG27" t="b">
        <v>0</v>
      </c>
      <c r="BH27" t="b">
        <v>0</v>
      </c>
      <c r="BI27" s="76" t="str">
        <f>HYPERLINK("https://pbs.twimg.com/profile_banners/80323736/1653973530")</f>
        <v>https://pbs.twimg.com/profile_banners/80323736/1653973530</v>
      </c>
      <c r="BK27" t="s">
        <v>2344</v>
      </c>
      <c r="BL27" t="b">
        <v>1</v>
      </c>
      <c r="BN27" t="s">
        <v>65</v>
      </c>
      <c r="BO27" t="s">
        <v>2345</v>
      </c>
      <c r="BP27" s="76" t="str">
        <f>HYPERLINK("https://twitter.com/ridwankamil")</f>
        <v>https://twitter.com/ridwankamil</v>
      </c>
      <c r="BQ27" s="44"/>
      <c r="BR27" s="44"/>
      <c r="BS27" s="44"/>
      <c r="BT27" s="44"/>
      <c r="BU27" s="44"/>
      <c r="BV27" s="44"/>
      <c r="BW27" s="44"/>
      <c r="BX27" s="44"/>
      <c r="BY27" s="44"/>
      <c r="BZ27" s="44"/>
      <c r="CA27" s="44"/>
      <c r="CB27" s="45"/>
      <c r="CC27" s="44"/>
      <c r="CD27" s="45"/>
      <c r="CE27" s="44"/>
      <c r="CF27" s="45"/>
      <c r="CG27" s="44"/>
      <c r="CH27" s="45"/>
      <c r="CI27" s="44"/>
      <c r="CJ27" s="112" t="str">
        <f>REPLACE(INDEX(GroupVertices[Group],MATCH("~"&amp;Vertices[[#This Row],[Vertex]],GroupVertices[Vertex],0)),1,1,"")</f>
        <v>4</v>
      </c>
      <c r="CK27" s="44"/>
      <c r="CL27" s="44"/>
      <c r="CM27" s="44"/>
      <c r="CN27" s="44"/>
      <c r="CO27" s="2"/>
    </row>
    <row r="28" spans="1:93" ht="41.45" customHeight="1">
      <c r="A28" s="59" t="s">
        <v>389</v>
      </c>
      <c r="C28" s="60"/>
      <c r="D28" s="60" t="s">
        <v>64</v>
      </c>
      <c r="E28" s="61">
        <v>6.862902905357387</v>
      </c>
      <c r="F28" s="63"/>
      <c r="G28" s="92" t="str">
        <f>HYPERLINK("https://pbs.twimg.com/profile_images/1332945968510078977/t6-d_J1C_normal.jpg")</f>
        <v>https://pbs.twimg.com/profile_images/1332945968510078977/t6-d_J1C_normal.jpg</v>
      </c>
      <c r="H28" s="60"/>
      <c r="I28" s="64" t="str">
        <f>Vertices[[#This Row],[Vertex]]</f>
        <v>pksejahtera</v>
      </c>
      <c r="J28" s="65"/>
      <c r="K28" s="65"/>
      <c r="L28" s="64"/>
      <c r="M28" s="68"/>
      <c r="N28" s="69">
        <v>6244.88330078125</v>
      </c>
      <c r="O28" s="69">
        <v>3107.80078125</v>
      </c>
      <c r="P28" s="70"/>
      <c r="Q28" s="71"/>
      <c r="R28" s="71"/>
      <c r="S28" s="78"/>
      <c r="T28" s="44">
        <v>2</v>
      </c>
      <c r="U28" s="44">
        <v>0</v>
      </c>
      <c r="V28" s="45">
        <v>69.078388</v>
      </c>
      <c r="W28" s="45">
        <v>0.135422</v>
      </c>
      <c r="X28" s="45">
        <v>0.009811</v>
      </c>
      <c r="Y28" s="45">
        <v>0.00345</v>
      </c>
      <c r="Z28" s="45">
        <v>0</v>
      </c>
      <c r="AA28" s="45">
        <v>0</v>
      </c>
      <c r="AB28" s="66">
        <v>28</v>
      </c>
      <c r="AC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8" s="67"/>
      <c r="AE28" t="s">
        <v>1639</v>
      </c>
      <c r="AF28" s="74" t="s">
        <v>1834</v>
      </c>
      <c r="AG28">
        <v>496038</v>
      </c>
      <c r="AH28">
        <v>619</v>
      </c>
      <c r="AI28">
        <v>62961</v>
      </c>
      <c r="AJ28">
        <v>415</v>
      </c>
      <c r="AK28">
        <v>4273</v>
      </c>
      <c r="AL28">
        <v>22997</v>
      </c>
      <c r="AM28" t="b">
        <v>0</v>
      </c>
      <c r="AN28" s="73">
        <v>39873.592627314814</v>
      </c>
      <c r="AO28" t="s">
        <v>1965</v>
      </c>
      <c r="AP28" t="s">
        <v>2112</v>
      </c>
      <c r="AQ28" s="76" t="str">
        <f>HYPERLINK("https://t.co/wmUDDEXPyy")</f>
        <v>https://t.co/wmUDDEXPyy</v>
      </c>
      <c r="AR28" s="76" t="str">
        <f>HYPERLINK("https://medsos.pks.id/")</f>
        <v>https://medsos.pks.id/</v>
      </c>
      <c r="AS28" t="s">
        <v>2289</v>
      </c>
      <c r="AW28">
        <v>1.65805707672644E+18</v>
      </c>
      <c r="AX28" s="76" t="str">
        <f>HYPERLINK("https://t.co/wmUDDEXPyy")</f>
        <v>https://t.co/wmUDDEXPyy</v>
      </c>
      <c r="AY28" t="b">
        <v>1</v>
      </c>
      <c r="BB28" t="b">
        <v>0</v>
      </c>
      <c r="BC28" t="b">
        <v>1</v>
      </c>
      <c r="BD28" t="b">
        <v>0</v>
      </c>
      <c r="BE28" t="b">
        <v>0</v>
      </c>
      <c r="BF28" t="b">
        <v>0</v>
      </c>
      <c r="BG28" t="b">
        <v>0</v>
      </c>
      <c r="BH28" t="b">
        <v>0</v>
      </c>
      <c r="BI28" s="76" t="str">
        <f>HYPERLINK("https://pbs.twimg.com/profile_banners/22365191/1660631752")</f>
        <v>https://pbs.twimg.com/profile_banners/22365191/1660631752</v>
      </c>
      <c r="BK28" t="s">
        <v>2343</v>
      </c>
      <c r="BL28" t="b">
        <v>0</v>
      </c>
      <c r="BN28" t="s">
        <v>65</v>
      </c>
      <c r="BO28" t="s">
        <v>2345</v>
      </c>
      <c r="BP28" s="76" t="str">
        <f>HYPERLINK("https://twitter.com/pksejahtera")</f>
        <v>https://twitter.com/pksejahtera</v>
      </c>
      <c r="BQ28" s="44"/>
      <c r="BR28" s="44"/>
      <c r="BS28" s="44"/>
      <c r="BT28" s="44"/>
      <c r="BU28" s="44"/>
      <c r="BV28" s="44"/>
      <c r="BW28" s="44"/>
      <c r="BX28" s="44"/>
      <c r="BY28" s="44"/>
      <c r="BZ28" s="44"/>
      <c r="CA28" s="44"/>
      <c r="CB28" s="45"/>
      <c r="CC28" s="44"/>
      <c r="CD28" s="45"/>
      <c r="CE28" s="44"/>
      <c r="CF28" s="45"/>
      <c r="CG28" s="44"/>
      <c r="CH28" s="45"/>
      <c r="CI28" s="44"/>
      <c r="CJ28" s="112" t="str">
        <f>REPLACE(INDEX(GroupVertices[Group],MATCH("~"&amp;Vertices[[#This Row],[Vertex]],GroupVertices[Vertex],0)),1,1,"")</f>
        <v>10</v>
      </c>
      <c r="CK28" s="44"/>
      <c r="CL28" s="44"/>
      <c r="CM28" s="44"/>
      <c r="CN28" s="44"/>
      <c r="CO28" s="2"/>
    </row>
    <row r="29" spans="1:93" ht="41.45" customHeight="1">
      <c r="A29" s="59" t="s">
        <v>387</v>
      </c>
      <c r="C29" s="60"/>
      <c r="D29" s="60" t="s">
        <v>64</v>
      </c>
      <c r="E29" s="61">
        <v>6.862902905357387</v>
      </c>
      <c r="F29" s="63"/>
      <c r="G29" s="92" t="str">
        <f>HYPERLINK("https://pbs.twimg.com/profile_images/1301320017028329472/2Ecoxmsp_normal.jpg")</f>
        <v>https://pbs.twimg.com/profile_images/1301320017028329472/2Ecoxmsp_normal.jpg</v>
      </c>
      <c r="H29" s="60"/>
      <c r="I29" s="64" t="str">
        <f>Vertices[[#This Row],[Vertex]]</f>
        <v>officialmkri</v>
      </c>
      <c r="J29" s="65"/>
      <c r="K29" s="65"/>
      <c r="L29" s="64"/>
      <c r="M29" s="68"/>
      <c r="N29" s="69">
        <v>6264.0048828125</v>
      </c>
      <c r="O29" s="69">
        <v>709.9362182617188</v>
      </c>
      <c r="P29" s="70"/>
      <c r="Q29" s="71"/>
      <c r="R29" s="71"/>
      <c r="S29" s="78"/>
      <c r="T29" s="44">
        <v>2</v>
      </c>
      <c r="U29" s="44">
        <v>0</v>
      </c>
      <c r="V29" s="45">
        <v>69.078388</v>
      </c>
      <c r="W29" s="45">
        <v>0.135422</v>
      </c>
      <c r="X29" s="45">
        <v>0.009811</v>
      </c>
      <c r="Y29" s="45">
        <v>0.00345</v>
      </c>
      <c r="Z29" s="45">
        <v>0</v>
      </c>
      <c r="AA29" s="45">
        <v>0</v>
      </c>
      <c r="AB29" s="66">
        <v>29</v>
      </c>
      <c r="AC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9" s="67"/>
      <c r="AE29" t="s">
        <v>1636</v>
      </c>
      <c r="AF29" s="74" t="s">
        <v>1832</v>
      </c>
      <c r="AG29">
        <v>146372</v>
      </c>
      <c r="AH29">
        <v>113</v>
      </c>
      <c r="AI29">
        <v>16327</v>
      </c>
      <c r="AJ29">
        <v>60</v>
      </c>
      <c r="AK29">
        <v>307</v>
      </c>
      <c r="AL29">
        <v>7755</v>
      </c>
      <c r="AM29" t="b">
        <v>0</v>
      </c>
      <c r="AN29" s="73">
        <v>40975.08164351852</v>
      </c>
      <c r="AO29" t="s">
        <v>1964</v>
      </c>
      <c r="AP29" t="s">
        <v>2109</v>
      </c>
      <c r="AQ29" s="76" t="str">
        <f>HYPERLINK("https://t.co/Q9qxfGwyOm")</f>
        <v>https://t.co/Q9qxfGwyOm</v>
      </c>
      <c r="AR29" s="76" t="str">
        <f>HYPERLINK("https://linktr.ee/mahkamahkonstitusi")</f>
        <v>https://linktr.ee/mahkamahkonstitusi</v>
      </c>
      <c r="AS29" t="s">
        <v>2286</v>
      </c>
      <c r="AX29" s="76" t="str">
        <f>HYPERLINK("https://t.co/Q9qxfGwyOm")</f>
        <v>https://t.co/Q9qxfGwyOm</v>
      </c>
      <c r="AY29" t="b">
        <v>0</v>
      </c>
      <c r="BB29" t="b">
        <v>1</v>
      </c>
      <c r="BC29" t="b">
        <v>1</v>
      </c>
      <c r="BD29" t="b">
        <v>0</v>
      </c>
      <c r="BE29" t="b">
        <v>0</v>
      </c>
      <c r="BF29" t="b">
        <v>1</v>
      </c>
      <c r="BG29" t="b">
        <v>0</v>
      </c>
      <c r="BH29" t="b">
        <v>0</v>
      </c>
      <c r="BI29" s="76" t="str">
        <f>HYPERLINK("https://pbs.twimg.com/profile_banners/517105241/1652853241")</f>
        <v>https://pbs.twimg.com/profile_banners/517105241/1652853241</v>
      </c>
      <c r="BK29" t="s">
        <v>2343</v>
      </c>
      <c r="BL29" t="b">
        <v>0</v>
      </c>
      <c r="BN29" t="s">
        <v>65</v>
      </c>
      <c r="BO29" t="s">
        <v>2345</v>
      </c>
      <c r="BP29" s="76" t="str">
        <f>HYPERLINK("https://twitter.com/officialmkri")</f>
        <v>https://twitter.com/officialmkri</v>
      </c>
      <c r="BQ29" s="44"/>
      <c r="BR29" s="44"/>
      <c r="BS29" s="44"/>
      <c r="BT29" s="44"/>
      <c r="BU29" s="44"/>
      <c r="BV29" s="44"/>
      <c r="BW29" s="44"/>
      <c r="BX29" s="44"/>
      <c r="BY29" s="44"/>
      <c r="BZ29" s="44"/>
      <c r="CA29" s="44"/>
      <c r="CB29" s="45"/>
      <c r="CC29" s="44"/>
      <c r="CD29" s="45"/>
      <c r="CE29" s="44"/>
      <c r="CF29" s="45"/>
      <c r="CG29" s="44"/>
      <c r="CH29" s="45"/>
      <c r="CI29" s="44"/>
      <c r="CJ29" s="112" t="str">
        <f>REPLACE(INDEX(GroupVertices[Group],MATCH("~"&amp;Vertices[[#This Row],[Vertex]],GroupVertices[Vertex],0)),1,1,"")</f>
        <v>10</v>
      </c>
      <c r="CK29" s="44"/>
      <c r="CL29" s="44"/>
      <c r="CM29" s="44"/>
      <c r="CN29" s="44"/>
      <c r="CO29" s="2"/>
    </row>
    <row r="30" spans="1:93" ht="41.45" customHeight="1">
      <c r="A30" s="59" t="s">
        <v>357</v>
      </c>
      <c r="C30" s="60"/>
      <c r="D30" s="60" t="s">
        <v>64</v>
      </c>
      <c r="E30" s="61">
        <v>6.862902905357387</v>
      </c>
      <c r="F30" s="63"/>
      <c r="G30" s="92" t="str">
        <f>HYPERLINK("https://pbs.twimg.com/profile_images/2785243807/1801a965ac6834af999a0919ed662fb0_normal.png")</f>
        <v>https://pbs.twimg.com/profile_images/2785243807/1801a965ac6834af999a0919ed662fb0_normal.png</v>
      </c>
      <c r="H30" s="60"/>
      <c r="I30" s="64" t="str">
        <f>Vertices[[#This Row],[Vertex]]</f>
        <v>changeorg_id</v>
      </c>
      <c r="J30" s="65"/>
      <c r="K30" s="65"/>
      <c r="L30" s="64"/>
      <c r="M30" s="68"/>
      <c r="N30" s="69">
        <v>3070.767578125</v>
      </c>
      <c r="O30" s="69">
        <v>2931.43212890625</v>
      </c>
      <c r="P30" s="70"/>
      <c r="Q30" s="71"/>
      <c r="R30" s="71"/>
      <c r="S30" s="78"/>
      <c r="T30" s="44">
        <v>2</v>
      </c>
      <c r="U30" s="44">
        <v>0</v>
      </c>
      <c r="V30" s="45">
        <v>304</v>
      </c>
      <c r="W30" s="45">
        <v>0.121952</v>
      </c>
      <c r="X30" s="45">
        <v>0.001748</v>
      </c>
      <c r="Y30" s="45">
        <v>0.003931</v>
      </c>
      <c r="Z30" s="45">
        <v>0</v>
      </c>
      <c r="AA30" s="45">
        <v>0</v>
      </c>
      <c r="AB30" s="66">
        <v>30</v>
      </c>
      <c r="AC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0" s="67"/>
      <c r="AE30" t="s">
        <v>1578</v>
      </c>
      <c r="AF30" s="74" t="s">
        <v>1812</v>
      </c>
      <c r="AG30">
        <v>55237</v>
      </c>
      <c r="AH30">
        <v>887</v>
      </c>
      <c r="AI30">
        <v>15724</v>
      </c>
      <c r="AJ30">
        <v>76</v>
      </c>
      <c r="AK30">
        <v>935</v>
      </c>
      <c r="AL30">
        <v>2495</v>
      </c>
      <c r="AM30" t="b">
        <v>0</v>
      </c>
      <c r="AN30" s="73">
        <v>41025.14011574074</v>
      </c>
      <c r="AO30" t="s">
        <v>996</v>
      </c>
      <c r="AP30" t="s">
        <v>2060</v>
      </c>
      <c r="AQ30" s="76" t="str">
        <f>HYPERLINK("https://t.co/CDkdCgC4r0")</f>
        <v>https://t.co/CDkdCgC4r0</v>
      </c>
      <c r="AR30" s="76" t="str">
        <f>HYPERLINK("https://www.change.org/impact")</f>
        <v>https://www.change.org/impact</v>
      </c>
      <c r="AS30" t="s">
        <v>2271</v>
      </c>
      <c r="AT30" s="76" t="str">
        <f>HYPERLINK("https://t.co/GnLzLGELOa")</f>
        <v>https://t.co/GnLzLGELOa</v>
      </c>
      <c r="AU30" s="76" t="str">
        <f>HYPERLINK("http://Change.org")</f>
        <v>http://Change.org</v>
      </c>
      <c r="AV30" t="s">
        <v>2338</v>
      </c>
      <c r="AW30">
        <v>1.61051944336035E+18</v>
      </c>
      <c r="AX30" s="76" t="str">
        <f>HYPERLINK("https://t.co/CDkdCgC4r0")</f>
        <v>https://t.co/CDkdCgC4r0</v>
      </c>
      <c r="AY30" t="b">
        <v>0</v>
      </c>
      <c r="BB30" t="b">
        <v>1</v>
      </c>
      <c r="BC30" t="b">
        <v>1</v>
      </c>
      <c r="BD30" t="b">
        <v>0</v>
      </c>
      <c r="BE30" t="b">
        <v>0</v>
      </c>
      <c r="BF30" t="b">
        <v>1</v>
      </c>
      <c r="BG30" t="b">
        <v>0</v>
      </c>
      <c r="BH30" t="b">
        <v>1</v>
      </c>
      <c r="BI30" s="76" t="str">
        <f>HYPERLINK("https://pbs.twimg.com/profile_banners/563483976/1595469290")</f>
        <v>https://pbs.twimg.com/profile_banners/563483976/1595469290</v>
      </c>
      <c r="BJ30" t="s">
        <v>2342</v>
      </c>
      <c r="BK30" t="s">
        <v>2343</v>
      </c>
      <c r="BL30" t="b">
        <v>0</v>
      </c>
      <c r="BN30" t="s">
        <v>65</v>
      </c>
      <c r="BO30" t="s">
        <v>2345</v>
      </c>
      <c r="BP30" s="76" t="str">
        <f>HYPERLINK("https://twitter.com/changeorg_id")</f>
        <v>https://twitter.com/changeorg_id</v>
      </c>
      <c r="BQ30" s="44"/>
      <c r="BR30" s="44"/>
      <c r="BS30" s="44"/>
      <c r="BT30" s="44"/>
      <c r="BU30" s="44"/>
      <c r="BV30" s="44"/>
      <c r="BW30" s="44"/>
      <c r="BX30" s="44"/>
      <c r="BY30" s="44"/>
      <c r="BZ30" s="44"/>
      <c r="CA30" s="44"/>
      <c r="CB30" s="45"/>
      <c r="CC30" s="44"/>
      <c r="CD30" s="45"/>
      <c r="CE30" s="44"/>
      <c r="CF30" s="45"/>
      <c r="CG30" s="44"/>
      <c r="CH30" s="45"/>
      <c r="CI30" s="44"/>
      <c r="CJ30" s="112" t="str">
        <f>REPLACE(INDEX(GroupVertices[Group],MATCH("~"&amp;Vertices[[#This Row],[Vertex]],GroupVertices[Vertex],0)),1,1,"")</f>
        <v>6</v>
      </c>
      <c r="CK30" s="44"/>
      <c r="CL30" s="44"/>
      <c r="CM30" s="44"/>
      <c r="CN30" s="44"/>
      <c r="CO30" s="2"/>
    </row>
    <row r="31" spans="1:93" ht="41.45" customHeight="1">
      <c r="A31" s="59" t="s">
        <v>261</v>
      </c>
      <c r="C31" s="60"/>
      <c r="D31" s="60" t="s">
        <v>64</v>
      </c>
      <c r="E31" s="61">
        <v>6.862902905357387</v>
      </c>
      <c r="F31" s="63"/>
      <c r="G31" s="92" t="str">
        <f>HYPERLINK("https://pbs.twimg.com/profile_images/1568833724875440135/cICvlWFp_normal.jpg")</f>
        <v>https://pbs.twimg.com/profile_images/1568833724875440135/cICvlWFp_normal.jpg</v>
      </c>
      <c r="H31" s="60"/>
      <c r="I31" s="64" t="str">
        <f>Vertices[[#This Row],[Vertex]]</f>
        <v>dennyindrayana</v>
      </c>
      <c r="J31" s="65"/>
      <c r="K31" s="65"/>
      <c r="L31" s="64"/>
      <c r="M31" s="68"/>
      <c r="N31" s="69">
        <v>6498.2763671875</v>
      </c>
      <c r="O31" s="69">
        <v>5629.84130859375</v>
      </c>
      <c r="P31" s="70"/>
      <c r="Q31" s="71"/>
      <c r="R31" s="71"/>
      <c r="S31" s="78"/>
      <c r="T31" s="44">
        <v>2</v>
      </c>
      <c r="U31" s="44">
        <v>1</v>
      </c>
      <c r="V31" s="45">
        <v>0</v>
      </c>
      <c r="W31" s="45">
        <v>0.119072</v>
      </c>
      <c r="X31" s="45">
        <v>0.001366</v>
      </c>
      <c r="Y31" s="45">
        <v>0.003705</v>
      </c>
      <c r="Z31" s="45">
        <v>0</v>
      </c>
      <c r="AA31" s="45">
        <v>0</v>
      </c>
      <c r="AB31" s="66">
        <v>31</v>
      </c>
      <c r="AC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1" s="67"/>
      <c r="AE31" t="s">
        <v>1620</v>
      </c>
      <c r="AF31" s="74" t="s">
        <v>1346</v>
      </c>
      <c r="AG31">
        <v>624649</v>
      </c>
      <c r="AH31">
        <v>48</v>
      </c>
      <c r="AI31">
        <v>17852</v>
      </c>
      <c r="AJ31">
        <v>662</v>
      </c>
      <c r="AK31">
        <v>5984</v>
      </c>
      <c r="AL31">
        <v>1564</v>
      </c>
      <c r="AM31" t="b">
        <v>0</v>
      </c>
      <c r="AN31" s="73">
        <v>40251.00685185185</v>
      </c>
      <c r="AP31" t="s">
        <v>2097</v>
      </c>
      <c r="AQ31" s="76" t="str">
        <f>HYPERLINK("https://t.co/zskb0gk7gP")</f>
        <v>https://t.co/zskb0gk7gP</v>
      </c>
      <c r="AR31" s="76" t="str">
        <f>HYPERLINK("https://lynk.id/dennyindrayana")</f>
        <v>https://lynk.id/dennyindrayana</v>
      </c>
      <c r="AS31" t="s">
        <v>2281</v>
      </c>
      <c r="AW31">
        <v>1.72972002534976E+18</v>
      </c>
      <c r="AX31" s="76" t="str">
        <f>HYPERLINK("https://t.co/zskb0gk7gP")</f>
        <v>https://t.co/zskb0gk7gP</v>
      </c>
      <c r="AY31" t="b">
        <v>1</v>
      </c>
      <c r="BB31" t="b">
        <v>1</v>
      </c>
      <c r="BC31" t="b">
        <v>1</v>
      </c>
      <c r="BD31" t="b">
        <v>0</v>
      </c>
      <c r="BE31" t="b">
        <v>0</v>
      </c>
      <c r="BF31" t="b">
        <v>0</v>
      </c>
      <c r="BG31" t="b">
        <v>0</v>
      </c>
      <c r="BH31" t="b">
        <v>0</v>
      </c>
      <c r="BI31" s="76" t="str">
        <f>HYPERLINK("https://pbs.twimg.com/profile_banners/122804908/1685329434")</f>
        <v>https://pbs.twimg.com/profile_banners/122804908/1685329434</v>
      </c>
      <c r="BK31" t="s">
        <v>2343</v>
      </c>
      <c r="BL31" t="b">
        <v>0</v>
      </c>
      <c r="BN31" t="s">
        <v>66</v>
      </c>
      <c r="BO31" t="s">
        <v>2345</v>
      </c>
      <c r="BP31" s="76" t="str">
        <f>HYPERLINK("https://twitter.com/dennyindrayana")</f>
        <v>https://twitter.com/dennyindrayana</v>
      </c>
      <c r="BQ31" s="44" t="s">
        <v>2354</v>
      </c>
      <c r="BR31" s="44" t="s">
        <v>2411</v>
      </c>
      <c r="BS31" s="44" t="s">
        <v>714</v>
      </c>
      <c r="BT31" s="44" t="s">
        <v>714</v>
      </c>
      <c r="BU31" s="44"/>
      <c r="BV31" s="44"/>
      <c r="BW31" s="95" t="s">
        <v>3430</v>
      </c>
      <c r="BX31" s="95" t="s">
        <v>3430</v>
      </c>
      <c r="BY31" s="95" t="s">
        <v>3453</v>
      </c>
      <c r="BZ31" s="95" t="s">
        <v>3453</v>
      </c>
      <c r="CA31" s="95">
        <v>5</v>
      </c>
      <c r="CB31" s="98">
        <v>20</v>
      </c>
      <c r="CC31" s="95">
        <v>1</v>
      </c>
      <c r="CD31" s="98">
        <v>4</v>
      </c>
      <c r="CE31" s="95">
        <v>0</v>
      </c>
      <c r="CF31" s="98">
        <v>0</v>
      </c>
      <c r="CG31" s="95">
        <v>18</v>
      </c>
      <c r="CH31" s="98">
        <v>72</v>
      </c>
      <c r="CI31" s="95">
        <v>25</v>
      </c>
      <c r="CJ31" s="116" t="str">
        <f>REPLACE(INDEX(GroupVertices[Group],MATCH("~"&amp;Vertices[[#This Row],[Vertex]],GroupVertices[Vertex],0)),1,1,"")</f>
        <v>11</v>
      </c>
      <c r="CK31" s="95" t="s">
        <v>2354</v>
      </c>
      <c r="CL31" s="95" t="s">
        <v>2411</v>
      </c>
      <c r="CM31" s="95"/>
      <c r="CN31" s="95"/>
      <c r="CO31" s="2"/>
    </row>
    <row r="32" spans="1:93" ht="41.45" customHeight="1">
      <c r="A32" s="59" t="s">
        <v>359</v>
      </c>
      <c r="C32" s="60"/>
      <c r="D32" s="60" t="s">
        <v>64</v>
      </c>
      <c r="E32" s="61">
        <v>6.862902905357387</v>
      </c>
      <c r="F32" s="63"/>
      <c r="G32" s="92" t="str">
        <f>HYPERLINK("https://pbs.twimg.com/profile_images/1209268107190996992/aycrl4be_normal.jpg")</f>
        <v>https://pbs.twimg.com/profile_images/1209268107190996992/aycrl4be_normal.jpg</v>
      </c>
      <c r="H32" s="60"/>
      <c r="I32" s="64" t="str">
        <f>Vertices[[#This Row],[Vertex]]</f>
        <v>mohmahfudmd</v>
      </c>
      <c r="J32" s="65"/>
      <c r="K32" s="65"/>
      <c r="L32" s="64"/>
      <c r="M32" s="68"/>
      <c r="N32" s="69">
        <v>3324.1015625</v>
      </c>
      <c r="O32" s="69">
        <v>5956.197265625</v>
      </c>
      <c r="P32" s="70"/>
      <c r="Q32" s="71"/>
      <c r="R32" s="71"/>
      <c r="S32" s="78"/>
      <c r="T32" s="44">
        <v>2</v>
      </c>
      <c r="U32" s="44">
        <v>0</v>
      </c>
      <c r="V32" s="45">
        <v>218.470887</v>
      </c>
      <c r="W32" s="45">
        <v>0.117682</v>
      </c>
      <c r="X32" s="45">
        <v>0.000737</v>
      </c>
      <c r="Y32" s="45">
        <v>0.003686</v>
      </c>
      <c r="Z32" s="45">
        <v>0</v>
      </c>
      <c r="AA32" s="45">
        <v>0</v>
      </c>
      <c r="AB32" s="66">
        <v>32</v>
      </c>
      <c r="AC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2" s="67"/>
      <c r="AE32" t="s">
        <v>1585</v>
      </c>
      <c r="AF32" s="74" t="s">
        <v>1815</v>
      </c>
      <c r="AG32">
        <v>4410138</v>
      </c>
      <c r="AH32">
        <v>645</v>
      </c>
      <c r="AI32">
        <v>26122</v>
      </c>
      <c r="AJ32">
        <v>1324</v>
      </c>
      <c r="AK32">
        <v>112</v>
      </c>
      <c r="AL32">
        <v>1024</v>
      </c>
      <c r="AM32" t="b">
        <v>0</v>
      </c>
      <c r="AN32" s="73">
        <v>40647.48458333333</v>
      </c>
      <c r="AO32" t="s">
        <v>1945</v>
      </c>
      <c r="AP32" t="s">
        <v>2067</v>
      </c>
      <c r="AY32" t="b">
        <v>1</v>
      </c>
      <c r="BA32" t="b">
        <v>1</v>
      </c>
      <c r="BB32" t="b">
        <v>0</v>
      </c>
      <c r="BC32" t="b">
        <v>1</v>
      </c>
      <c r="BD32" t="b">
        <v>0</v>
      </c>
      <c r="BE32" t="b">
        <v>0</v>
      </c>
      <c r="BF32" t="b">
        <v>1</v>
      </c>
      <c r="BG32" t="b">
        <v>0</v>
      </c>
      <c r="BH32" t="b">
        <v>0</v>
      </c>
      <c r="BI32" s="76" t="str">
        <f>HYPERLINK("https://pbs.twimg.com/profile_banners/282006208/1577112783")</f>
        <v>https://pbs.twimg.com/profile_banners/282006208/1577112783</v>
      </c>
      <c r="BK32" t="s">
        <v>2343</v>
      </c>
      <c r="BL32" t="b">
        <v>1</v>
      </c>
      <c r="BN32" t="s">
        <v>65</v>
      </c>
      <c r="BO32" t="s">
        <v>2345</v>
      </c>
      <c r="BP32" s="76" t="str">
        <f>HYPERLINK("https://twitter.com/mohmahfudmd")</f>
        <v>https://twitter.com/mohmahfudmd</v>
      </c>
      <c r="BQ32" s="44"/>
      <c r="BR32" s="44"/>
      <c r="BS32" s="44"/>
      <c r="BT32" s="44"/>
      <c r="BU32" s="44"/>
      <c r="BV32" s="44"/>
      <c r="BW32" s="44"/>
      <c r="BX32" s="44"/>
      <c r="BY32" s="44"/>
      <c r="BZ32" s="44"/>
      <c r="CA32" s="44"/>
      <c r="CB32" s="45"/>
      <c r="CC32" s="44"/>
      <c r="CD32" s="45"/>
      <c r="CE32" s="44"/>
      <c r="CF32" s="45"/>
      <c r="CG32" s="44"/>
      <c r="CH32" s="45"/>
      <c r="CI32" s="44"/>
      <c r="CJ32" s="112" t="str">
        <f>REPLACE(INDEX(GroupVertices[Group],MATCH("~"&amp;Vertices[[#This Row],[Vertex]],GroupVertices[Vertex],0)),1,1,"")</f>
        <v>4</v>
      </c>
      <c r="CK32" s="44"/>
      <c r="CL32" s="44"/>
      <c r="CM32" s="44"/>
      <c r="CN32" s="44"/>
      <c r="CO32" s="2"/>
    </row>
    <row r="33" spans="1:93" ht="41.45" customHeight="1">
      <c r="A33" s="59" t="s">
        <v>377</v>
      </c>
      <c r="C33" s="60"/>
      <c r="D33" s="60" t="s">
        <v>64</v>
      </c>
      <c r="E33" s="61">
        <v>6.862902905357387</v>
      </c>
      <c r="F33" s="63"/>
      <c r="G33" s="92" t="str">
        <f>HYPERLINK("https://pbs.twimg.com/profile_images/1437959758690996226/3bakzMGk_normal.jpg")</f>
        <v>https://pbs.twimg.com/profile_images/1437959758690996226/3bakzMGk_normal.jpg</v>
      </c>
      <c r="H33" s="60"/>
      <c r="I33" s="64" t="str">
        <f>Vertices[[#This Row],[Vertex]]</f>
        <v>bima_____</v>
      </c>
      <c r="J33" s="65"/>
      <c r="K33" s="65"/>
      <c r="L33" s="64"/>
      <c r="M33" s="68"/>
      <c r="N33" s="69">
        <v>6703.1875</v>
      </c>
      <c r="O33" s="69">
        <v>7142.4716796875</v>
      </c>
      <c r="P33" s="70"/>
      <c r="Q33" s="71"/>
      <c r="R33" s="71"/>
      <c r="S33" s="78"/>
      <c r="T33" s="44">
        <v>2</v>
      </c>
      <c r="U33" s="44">
        <v>0</v>
      </c>
      <c r="V33" s="45">
        <v>8.666667</v>
      </c>
      <c r="W33" s="45">
        <v>0.098622</v>
      </c>
      <c r="X33" s="45">
        <v>0.001787</v>
      </c>
      <c r="Y33" s="45">
        <v>0.003688</v>
      </c>
      <c r="Z33" s="45">
        <v>0</v>
      </c>
      <c r="AA33" s="45">
        <v>0</v>
      </c>
      <c r="AB33" s="66">
        <v>33</v>
      </c>
      <c r="AC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3" s="67"/>
      <c r="AE33" t="s">
        <v>1615</v>
      </c>
      <c r="AF33" s="74" t="s">
        <v>1344</v>
      </c>
      <c r="AG33">
        <v>2453</v>
      </c>
      <c r="AH33">
        <v>803</v>
      </c>
      <c r="AI33">
        <v>19557</v>
      </c>
      <c r="AJ33">
        <v>1</v>
      </c>
      <c r="AK33">
        <v>9707</v>
      </c>
      <c r="AL33">
        <v>2315</v>
      </c>
      <c r="AM33" t="b">
        <v>0</v>
      </c>
      <c r="AN33" s="73">
        <v>42409.52476851852</v>
      </c>
      <c r="AO33" t="s">
        <v>1961</v>
      </c>
      <c r="AP33" t="s">
        <v>2092</v>
      </c>
      <c r="AY33" t="b">
        <v>0</v>
      </c>
      <c r="BB33" t="b">
        <v>0</v>
      </c>
      <c r="BC33" t="b">
        <v>1</v>
      </c>
      <c r="BD33" t="b">
        <v>1</v>
      </c>
      <c r="BE33" t="b">
        <v>0</v>
      </c>
      <c r="BF33" t="b">
        <v>0</v>
      </c>
      <c r="BG33" t="b">
        <v>0</v>
      </c>
      <c r="BH33" t="b">
        <v>0</v>
      </c>
      <c r="BI33" s="76" t="str">
        <f>HYPERLINK("https://pbs.twimg.com/profile_banners/4882851732/1547723337")</f>
        <v>https://pbs.twimg.com/profile_banners/4882851732/1547723337</v>
      </c>
      <c r="BK33" t="s">
        <v>2343</v>
      </c>
      <c r="BL33" t="b">
        <v>0</v>
      </c>
      <c r="BN33" t="s">
        <v>65</v>
      </c>
      <c r="BO33" t="s">
        <v>2345</v>
      </c>
      <c r="BP33" s="76" t="str">
        <f>HYPERLINK("https://twitter.com/bima_____")</f>
        <v>https://twitter.com/bima_____</v>
      </c>
      <c r="BQ33" s="44"/>
      <c r="BR33" s="44"/>
      <c r="BS33" s="44"/>
      <c r="BT33" s="44"/>
      <c r="BU33" s="44"/>
      <c r="BV33" s="44"/>
      <c r="BW33" s="44"/>
      <c r="BX33" s="44"/>
      <c r="BY33" s="44"/>
      <c r="BZ33" s="44"/>
      <c r="CA33" s="44"/>
      <c r="CB33" s="45"/>
      <c r="CC33" s="44"/>
      <c r="CD33" s="45"/>
      <c r="CE33" s="44"/>
      <c r="CF33" s="45"/>
      <c r="CG33" s="44"/>
      <c r="CH33" s="45"/>
      <c r="CI33" s="44"/>
      <c r="CJ33" s="112" t="str">
        <f>REPLACE(INDEX(GroupVertices[Group],MATCH("~"&amp;Vertices[[#This Row],[Vertex]],GroupVertices[Vertex],0)),1,1,"")</f>
        <v>13</v>
      </c>
      <c r="CK33" s="44"/>
      <c r="CL33" s="44"/>
      <c r="CM33" s="44"/>
      <c r="CN33" s="44"/>
      <c r="CO33" s="2"/>
    </row>
    <row r="34" spans="1:93" ht="41.45" customHeight="1">
      <c r="A34" s="59" t="s">
        <v>400</v>
      </c>
      <c r="C34" s="60"/>
      <c r="D34" s="60" t="s">
        <v>64</v>
      </c>
      <c r="E34" s="61">
        <v>6.862902905357387</v>
      </c>
      <c r="F34" s="63"/>
      <c r="G34" s="92" t="str">
        <f>HYPERLINK("https://pbs.twimg.com/profile_images/1663442769724215297/RFer6N6g_normal.jpg")</f>
        <v>https://pbs.twimg.com/profile_images/1663442769724215297/RFer6N6g_normal.jpg</v>
      </c>
      <c r="H34" s="60"/>
      <c r="I34" s="64" t="str">
        <f>Vertices[[#This Row],[Vertex]]</f>
        <v>nicho_silalahi</v>
      </c>
      <c r="J34" s="65"/>
      <c r="K34" s="65"/>
      <c r="L34" s="64"/>
      <c r="M34" s="68"/>
      <c r="N34" s="69">
        <v>7080.37841796875</v>
      </c>
      <c r="O34" s="69">
        <v>5494.4267578125</v>
      </c>
      <c r="P34" s="70"/>
      <c r="Q34" s="71"/>
      <c r="R34" s="71"/>
      <c r="S34" s="78"/>
      <c r="T34" s="44">
        <v>2</v>
      </c>
      <c r="U34" s="44">
        <v>0</v>
      </c>
      <c r="V34" s="45">
        <v>16</v>
      </c>
      <c r="W34" s="45">
        <v>0.012685</v>
      </c>
      <c r="X34" s="45">
        <v>0</v>
      </c>
      <c r="Y34" s="45">
        <v>0.00381</v>
      </c>
      <c r="Z34" s="45">
        <v>0</v>
      </c>
      <c r="AA34" s="45">
        <v>0</v>
      </c>
      <c r="AB34" s="66">
        <v>34</v>
      </c>
      <c r="AC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4" s="67"/>
      <c r="AE34" t="s">
        <v>1654</v>
      </c>
      <c r="AF34" s="74" t="s">
        <v>1358</v>
      </c>
      <c r="AG34">
        <v>84244</v>
      </c>
      <c r="AH34">
        <v>1612</v>
      </c>
      <c r="AI34">
        <v>36661</v>
      </c>
      <c r="AJ34">
        <v>28</v>
      </c>
      <c r="AK34">
        <v>79891</v>
      </c>
      <c r="AL34">
        <v>4024</v>
      </c>
      <c r="AM34" t="b">
        <v>0</v>
      </c>
      <c r="AN34" s="73">
        <v>40075.42457175926</v>
      </c>
      <c r="AO34" t="s">
        <v>996</v>
      </c>
      <c r="AP34" t="s">
        <v>2126</v>
      </c>
      <c r="AQ34" s="76" t="str">
        <f>HYPERLINK("https://t.co/NG0K3dDI4o")</f>
        <v>https://t.co/NG0K3dDI4o</v>
      </c>
      <c r="AR34" s="76" t="str">
        <f>HYPERLINK("https://m.youtube.com/channel/UCS0hJgIXAxg_tvxkYIy0g4g")</f>
        <v>https://m.youtube.com/channel/UCS0hJgIXAxg_tvxkYIy0g4g</v>
      </c>
      <c r="AS34" t="s">
        <v>2294</v>
      </c>
      <c r="AW34">
        <v>1.5470453547636E+18</v>
      </c>
      <c r="AX34" s="76" t="str">
        <f>HYPERLINK("https://t.co/NG0K3dDI4o")</f>
        <v>https://t.co/NG0K3dDI4o</v>
      </c>
      <c r="AY34" t="b">
        <v>1</v>
      </c>
      <c r="BB34" t="b">
        <v>0</v>
      </c>
      <c r="BC34" t="b">
        <v>0</v>
      </c>
      <c r="BD34" t="b">
        <v>0</v>
      </c>
      <c r="BE34" t="b">
        <v>0</v>
      </c>
      <c r="BF34" t="b">
        <v>1</v>
      </c>
      <c r="BG34" t="b">
        <v>0</v>
      </c>
      <c r="BH34" t="b">
        <v>0</v>
      </c>
      <c r="BI34" s="76" t="str">
        <f>HYPERLINK("https://pbs.twimg.com/profile_banners/75519742/1662501633")</f>
        <v>https://pbs.twimg.com/profile_banners/75519742/1662501633</v>
      </c>
      <c r="BK34" t="s">
        <v>2343</v>
      </c>
      <c r="BL34" t="b">
        <v>0</v>
      </c>
      <c r="BN34" t="s">
        <v>65</v>
      </c>
      <c r="BO34" t="s">
        <v>2345</v>
      </c>
      <c r="BP34" s="76" t="str">
        <f>HYPERLINK("https://twitter.com/nicho_silalahi")</f>
        <v>https://twitter.com/nicho_silalahi</v>
      </c>
      <c r="BQ34" s="44"/>
      <c r="BR34" s="44"/>
      <c r="BS34" s="44"/>
      <c r="BT34" s="44"/>
      <c r="BU34" s="44"/>
      <c r="BV34" s="44"/>
      <c r="BW34" s="44"/>
      <c r="BX34" s="44"/>
      <c r="BY34" s="44"/>
      <c r="BZ34" s="44"/>
      <c r="CA34" s="44"/>
      <c r="CB34" s="45"/>
      <c r="CC34" s="44"/>
      <c r="CD34" s="45"/>
      <c r="CE34" s="44"/>
      <c r="CF34" s="45"/>
      <c r="CG34" s="44"/>
      <c r="CH34" s="45"/>
      <c r="CI34" s="44"/>
      <c r="CJ34" s="112" t="str">
        <f>REPLACE(INDEX(GroupVertices[Group],MATCH("~"&amp;Vertices[[#This Row],[Vertex]],GroupVertices[Vertex],0)),1,1,"")</f>
        <v>15</v>
      </c>
      <c r="CK34" s="44"/>
      <c r="CL34" s="44"/>
      <c r="CM34" s="44"/>
      <c r="CN34" s="44"/>
      <c r="CO34" s="2"/>
    </row>
    <row r="35" spans="1:93" ht="41.45" customHeight="1">
      <c r="A35" s="59" t="s">
        <v>354</v>
      </c>
      <c r="C35" s="60"/>
      <c r="D35" s="60" t="s">
        <v>64</v>
      </c>
      <c r="E35" s="61">
        <v>6.862902905357387</v>
      </c>
      <c r="F35" s="63"/>
      <c r="G35" s="92" t="str">
        <f>HYPERLINK("https://pbs.twimg.com/profile_images/1553860816205905920/E5hs_hpt_normal.jpg")</f>
        <v>https://pbs.twimg.com/profile_images/1553860816205905920/E5hs_hpt_normal.jpg</v>
      </c>
      <c r="H35" s="60"/>
      <c r="I35" s="64" t="str">
        <f>Vertices[[#This Row],[Vertex]]</f>
        <v>papa_loren</v>
      </c>
      <c r="J35" s="65"/>
      <c r="K35" s="65"/>
      <c r="L35" s="64"/>
      <c r="M35" s="68"/>
      <c r="N35" s="69">
        <v>6786.32177734375</v>
      </c>
      <c r="O35" s="69">
        <v>5065.7705078125</v>
      </c>
      <c r="P35" s="70"/>
      <c r="Q35" s="71"/>
      <c r="R35" s="71"/>
      <c r="S35" s="78"/>
      <c r="T35" s="44">
        <v>2</v>
      </c>
      <c r="U35" s="44">
        <v>0</v>
      </c>
      <c r="V35" s="45">
        <v>10</v>
      </c>
      <c r="W35" s="45">
        <v>0.010733</v>
      </c>
      <c r="X35" s="45">
        <v>0</v>
      </c>
      <c r="Y35" s="45">
        <v>0.004039</v>
      </c>
      <c r="Z35" s="45">
        <v>0</v>
      </c>
      <c r="AA35" s="45">
        <v>0</v>
      </c>
      <c r="AB35" s="66">
        <v>35</v>
      </c>
      <c r="AC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5" s="67"/>
      <c r="AE35" t="s">
        <v>1569</v>
      </c>
      <c r="AF35" s="74" t="s">
        <v>1330</v>
      </c>
      <c r="AG35">
        <v>32108</v>
      </c>
      <c r="AH35">
        <v>4749</v>
      </c>
      <c r="AI35">
        <v>83777</v>
      </c>
      <c r="AJ35">
        <v>8</v>
      </c>
      <c r="AK35">
        <v>387444</v>
      </c>
      <c r="AL35">
        <v>6497</v>
      </c>
      <c r="AM35" t="b">
        <v>0</v>
      </c>
      <c r="AN35" s="73">
        <v>44533.25866898148</v>
      </c>
      <c r="AO35" t="s">
        <v>1950</v>
      </c>
      <c r="AP35" t="s">
        <v>2053</v>
      </c>
      <c r="AQ35" s="76" t="str">
        <f>HYPERLINK("https://t.co/K0lAIPqAYF")</f>
        <v>https://t.co/K0lAIPqAYF</v>
      </c>
      <c r="AR35" s="76" t="str">
        <f>HYPERLINK("http://sayangpapahmamah.com")</f>
        <v>http://sayangpapahmamah.com</v>
      </c>
      <c r="AS35" t="s">
        <v>2269</v>
      </c>
      <c r="AX35" s="76" t="str">
        <f>HYPERLINK("https://t.co/K0lAIPqAYF")</f>
        <v>https://t.co/K0lAIPqAYF</v>
      </c>
      <c r="AY35" t="b">
        <v>1</v>
      </c>
      <c r="BB35" t="b">
        <v>0</v>
      </c>
      <c r="BC35" t="b">
        <v>0</v>
      </c>
      <c r="BD35" t="b">
        <v>1</v>
      </c>
      <c r="BE35" t="b">
        <v>0</v>
      </c>
      <c r="BF35" t="b">
        <v>1</v>
      </c>
      <c r="BG35" t="b">
        <v>0</v>
      </c>
      <c r="BH35" t="b">
        <v>0</v>
      </c>
      <c r="BI35" s="76" t="str">
        <f>HYPERLINK("https://pbs.twimg.com/profile_banners/1466651308102877187/1659305787")</f>
        <v>https://pbs.twimg.com/profile_banners/1466651308102877187/1659305787</v>
      </c>
      <c r="BK35" t="s">
        <v>2343</v>
      </c>
      <c r="BL35" t="b">
        <v>0</v>
      </c>
      <c r="BN35" t="s">
        <v>65</v>
      </c>
      <c r="BO35" t="s">
        <v>2345</v>
      </c>
      <c r="BP35" s="76" t="str">
        <f>HYPERLINK("https://twitter.com/papa_loren")</f>
        <v>https://twitter.com/papa_loren</v>
      </c>
      <c r="BQ35" s="44"/>
      <c r="BR35" s="44"/>
      <c r="BS35" s="44"/>
      <c r="BT35" s="44"/>
      <c r="BU35" s="44"/>
      <c r="BV35" s="44"/>
      <c r="BW35" s="44"/>
      <c r="BX35" s="44"/>
      <c r="BY35" s="44"/>
      <c r="BZ35" s="44"/>
      <c r="CA35" s="44"/>
      <c r="CB35" s="45"/>
      <c r="CC35" s="44"/>
      <c r="CD35" s="45"/>
      <c r="CE35" s="44"/>
      <c r="CF35" s="45"/>
      <c r="CG35" s="44"/>
      <c r="CH35" s="45"/>
      <c r="CI35" s="44"/>
      <c r="CJ35" s="112" t="str">
        <f>REPLACE(INDEX(GroupVertices[Group],MATCH("~"&amp;Vertices[[#This Row],[Vertex]],GroupVertices[Vertex],0)),1,1,"")</f>
        <v>15</v>
      </c>
      <c r="CK35" s="44"/>
      <c r="CL35" s="44"/>
      <c r="CM35" s="44"/>
      <c r="CN35" s="44"/>
      <c r="CO35" s="2"/>
    </row>
    <row r="36" spans="1:93" ht="41.45" customHeight="1">
      <c r="A36" s="59" t="s">
        <v>345</v>
      </c>
      <c r="C36" s="60"/>
      <c r="D36" s="60" t="s">
        <v>64</v>
      </c>
      <c r="E36" s="61">
        <v>6.862902905357387</v>
      </c>
      <c r="F36" s="63"/>
      <c r="G36" s="92" t="str">
        <f>HYPERLINK("https://pbs.twimg.com/profile_images/1720666390380843008/nYKt5ab9_normal.jpg")</f>
        <v>https://pbs.twimg.com/profile_images/1720666390380843008/nYKt5ab9_normal.jpg</v>
      </c>
      <c r="H36" s="60"/>
      <c r="I36" s="64" t="str">
        <f>Vertices[[#This Row],[Vertex]]</f>
        <v>tvonenews</v>
      </c>
      <c r="J36" s="65"/>
      <c r="K36" s="65"/>
      <c r="L36" s="64"/>
      <c r="M36" s="68"/>
      <c r="N36" s="69">
        <v>7772.75439453125</v>
      </c>
      <c r="O36" s="69">
        <v>7803.7763671875</v>
      </c>
      <c r="P36" s="70"/>
      <c r="Q36" s="71"/>
      <c r="R36" s="71"/>
      <c r="S36" s="78"/>
      <c r="T36" s="44">
        <v>2</v>
      </c>
      <c r="U36" s="44">
        <v>0</v>
      </c>
      <c r="V36" s="45">
        <v>6</v>
      </c>
      <c r="W36" s="45">
        <v>0.010336</v>
      </c>
      <c r="X36" s="45">
        <v>0</v>
      </c>
      <c r="Y36" s="45">
        <v>0.004052</v>
      </c>
      <c r="Z36" s="45">
        <v>0</v>
      </c>
      <c r="AA36" s="45">
        <v>0</v>
      </c>
      <c r="AB36" s="66">
        <v>36</v>
      </c>
      <c r="AC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6" s="67"/>
      <c r="AE36" t="s">
        <v>1538</v>
      </c>
      <c r="AF36" s="74" t="s">
        <v>1313</v>
      </c>
      <c r="AG36">
        <v>9844589</v>
      </c>
      <c r="AH36">
        <v>50</v>
      </c>
      <c r="AI36">
        <v>409742</v>
      </c>
      <c r="AJ36">
        <v>8162</v>
      </c>
      <c r="AK36">
        <v>7</v>
      </c>
      <c r="AL36">
        <v>140864</v>
      </c>
      <c r="AM36" t="b">
        <v>0</v>
      </c>
      <c r="AN36" s="73">
        <v>40004.34484953704</v>
      </c>
      <c r="AO36" t="s">
        <v>1941</v>
      </c>
      <c r="AP36" t="s">
        <v>2024</v>
      </c>
      <c r="AW36">
        <v>1.72980220030482E+18</v>
      </c>
      <c r="AY36" t="b">
        <v>1</v>
      </c>
      <c r="BB36" t="b">
        <v>0</v>
      </c>
      <c r="BC36" t="b">
        <v>1</v>
      </c>
      <c r="BD36" t="b">
        <v>1</v>
      </c>
      <c r="BE36" t="b">
        <v>0</v>
      </c>
      <c r="BF36" t="b">
        <v>0</v>
      </c>
      <c r="BG36" t="b">
        <v>0</v>
      </c>
      <c r="BH36" t="b">
        <v>0</v>
      </c>
      <c r="BI36" s="76" t="str">
        <f>HYPERLINK("https://pbs.twimg.com/profile_banners/55507370/1690282621")</f>
        <v>https://pbs.twimg.com/profile_banners/55507370/1690282621</v>
      </c>
      <c r="BK36" t="s">
        <v>2344</v>
      </c>
      <c r="BL36" t="b">
        <v>0</v>
      </c>
      <c r="BN36" t="s">
        <v>65</v>
      </c>
      <c r="BO36" t="s">
        <v>2345</v>
      </c>
      <c r="BP36" s="76" t="str">
        <f>HYPERLINK("https://twitter.com/tvonenews")</f>
        <v>https://twitter.com/tvonenews</v>
      </c>
      <c r="BQ36" s="44"/>
      <c r="BR36" s="44"/>
      <c r="BS36" s="44"/>
      <c r="BT36" s="44"/>
      <c r="BU36" s="44"/>
      <c r="BV36" s="44"/>
      <c r="BW36" s="44"/>
      <c r="BX36" s="44"/>
      <c r="BY36" s="44"/>
      <c r="BZ36" s="44"/>
      <c r="CA36" s="44"/>
      <c r="CB36" s="45"/>
      <c r="CC36" s="44"/>
      <c r="CD36" s="45"/>
      <c r="CE36" s="44"/>
      <c r="CF36" s="45"/>
      <c r="CG36" s="44"/>
      <c r="CH36" s="45"/>
      <c r="CI36" s="44"/>
      <c r="CJ36" s="112" t="str">
        <f>REPLACE(INDEX(GroupVertices[Group],MATCH("~"&amp;Vertices[[#This Row],[Vertex]],GroupVertices[Vertex],0)),1,1,"")</f>
        <v>16</v>
      </c>
      <c r="CK36" s="44"/>
      <c r="CL36" s="44"/>
      <c r="CM36" s="44"/>
      <c r="CN36" s="44"/>
      <c r="CO36" s="2"/>
    </row>
    <row r="37" spans="1:93" ht="41.45" customHeight="1">
      <c r="A37" s="59" t="s">
        <v>305</v>
      </c>
      <c r="C37" s="60"/>
      <c r="D37" s="60" t="s">
        <v>64</v>
      </c>
      <c r="E37" s="61">
        <v>6.862902905357387</v>
      </c>
      <c r="F37" s="63"/>
      <c r="G37" s="92" t="str">
        <f>HYPERLINK("https://pbs.twimg.com/profile_images/1510933276437127168/kelIypVn_normal.jpg")</f>
        <v>https://pbs.twimg.com/profile_images/1510933276437127168/kelIypVn_normal.jpg</v>
      </c>
      <c r="H37" s="60"/>
      <c r="I37" s="64" t="str">
        <f>Vertices[[#This Row],[Vertex]]</f>
        <v>news_jubi</v>
      </c>
      <c r="J37" s="65"/>
      <c r="K37" s="65"/>
      <c r="L37" s="64"/>
      <c r="M37" s="68"/>
      <c r="N37" s="69">
        <v>9062.1923828125</v>
      </c>
      <c r="O37" s="69">
        <v>7048.86279296875</v>
      </c>
      <c r="P37" s="70"/>
      <c r="Q37" s="71"/>
      <c r="R37" s="71"/>
      <c r="S37" s="78"/>
      <c r="T37" s="44">
        <v>2</v>
      </c>
      <c r="U37" s="44">
        <v>1</v>
      </c>
      <c r="V37" s="45">
        <v>0</v>
      </c>
      <c r="W37" s="45">
        <v>0.003876</v>
      </c>
      <c r="X37" s="45">
        <v>0</v>
      </c>
      <c r="Y37" s="45">
        <v>0.00413</v>
      </c>
      <c r="Z37" s="45">
        <v>0</v>
      </c>
      <c r="AA37" s="45">
        <v>0</v>
      </c>
      <c r="AB37" s="66">
        <v>37</v>
      </c>
      <c r="AC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7" s="67"/>
      <c r="AE37" t="s">
        <v>1745</v>
      </c>
      <c r="AF37" s="74" t="s">
        <v>1902</v>
      </c>
      <c r="AG37">
        <v>97156</v>
      </c>
      <c r="AH37">
        <v>16</v>
      </c>
      <c r="AI37">
        <v>111643</v>
      </c>
      <c r="AJ37">
        <v>58</v>
      </c>
      <c r="AK37">
        <v>949</v>
      </c>
      <c r="AL37">
        <v>47918</v>
      </c>
      <c r="AM37" t="b">
        <v>0</v>
      </c>
      <c r="AN37" s="73">
        <v>41262.983506944445</v>
      </c>
      <c r="AO37" t="s">
        <v>1999</v>
      </c>
      <c r="AP37" t="s">
        <v>2211</v>
      </c>
      <c r="AQ37" s="76" t="str">
        <f>HYPERLINK("https://t.co/6Sy9vs2noB")</f>
        <v>https://t.co/6Sy9vs2noB</v>
      </c>
      <c r="AR37" s="76" t="str">
        <f>HYPERLINK("http://jubi.id")</f>
        <v>http://jubi.id</v>
      </c>
      <c r="AS37" t="s">
        <v>2315</v>
      </c>
      <c r="AW37">
        <v>1.72293062979974E+18</v>
      </c>
      <c r="AX37" s="76" t="str">
        <f>HYPERLINK("https://t.co/6Sy9vs2noB")</f>
        <v>https://t.co/6Sy9vs2noB</v>
      </c>
      <c r="AY37" t="b">
        <v>0</v>
      </c>
      <c r="BB37" t="b">
        <v>0</v>
      </c>
      <c r="BC37" t="b">
        <v>1</v>
      </c>
      <c r="BD37" t="b">
        <v>0</v>
      </c>
      <c r="BE37" t="b">
        <v>0</v>
      </c>
      <c r="BF37" t="b">
        <v>1</v>
      </c>
      <c r="BG37" t="b">
        <v>0</v>
      </c>
      <c r="BH37" t="b">
        <v>0</v>
      </c>
      <c r="BI37" s="76" t="str">
        <f>HYPERLINK("https://pbs.twimg.com/profile_banners/1023114824/1648794167")</f>
        <v>https://pbs.twimg.com/profile_banners/1023114824/1648794167</v>
      </c>
      <c r="BK37" t="s">
        <v>2343</v>
      </c>
      <c r="BL37" t="b">
        <v>0</v>
      </c>
      <c r="BN37" t="s">
        <v>66</v>
      </c>
      <c r="BO37" t="s">
        <v>2345</v>
      </c>
      <c r="BP37" s="76" t="str">
        <f>HYPERLINK("https://twitter.com/news_jubi")</f>
        <v>https://twitter.com/news_jubi</v>
      </c>
      <c r="BQ37" s="44" t="s">
        <v>2351</v>
      </c>
      <c r="BR37" s="44" t="s">
        <v>2351</v>
      </c>
      <c r="BS37" s="44" t="s">
        <v>710</v>
      </c>
      <c r="BT37" s="44" t="s">
        <v>710</v>
      </c>
      <c r="BU37" s="44"/>
      <c r="BV37" s="44"/>
      <c r="BW37" s="95" t="s">
        <v>2455</v>
      </c>
      <c r="BX37" s="95" t="s">
        <v>2455</v>
      </c>
      <c r="BY37" s="95" t="s">
        <v>2551</v>
      </c>
      <c r="BZ37" s="95" t="s">
        <v>2551</v>
      </c>
      <c r="CA37" s="95">
        <v>0</v>
      </c>
      <c r="CB37" s="98">
        <v>0</v>
      </c>
      <c r="CC37" s="95">
        <v>0</v>
      </c>
      <c r="CD37" s="98">
        <v>0</v>
      </c>
      <c r="CE37" s="95">
        <v>0</v>
      </c>
      <c r="CF37" s="98">
        <v>0</v>
      </c>
      <c r="CG37" s="95">
        <v>14</v>
      </c>
      <c r="CH37" s="98">
        <v>100</v>
      </c>
      <c r="CI37" s="95">
        <v>14</v>
      </c>
      <c r="CJ37" s="116" t="str">
        <f>REPLACE(INDEX(GroupVertices[Group],MATCH("~"&amp;Vertices[[#This Row],[Vertex]],GroupVertices[Vertex],0)),1,1,"")</f>
        <v>40</v>
      </c>
      <c r="CK37" s="95" t="s">
        <v>2351</v>
      </c>
      <c r="CL37" s="95" t="s">
        <v>2351</v>
      </c>
      <c r="CM37" s="95"/>
      <c r="CN37" s="95"/>
      <c r="CO37" s="2"/>
    </row>
    <row r="38" spans="1:93" ht="41.45" customHeight="1">
      <c r="A38" s="59" t="s">
        <v>320</v>
      </c>
      <c r="C38" s="60"/>
      <c r="D38" s="60" t="s">
        <v>64</v>
      </c>
      <c r="E38" s="61">
        <v>6.862902905357387</v>
      </c>
      <c r="F38" s="63"/>
      <c r="G38" s="92" t="str">
        <f>HYPERLINK("https://pbs.twimg.com/profile_images/1548741907336929281/m283dRCa_normal.jpg")</f>
        <v>https://pbs.twimg.com/profile_images/1548741907336929281/m283dRCa_normal.jpg</v>
      </c>
      <c r="H38" s="60"/>
      <c r="I38" s="64" t="str">
        <f>Vertices[[#This Row],[Vertex]]</f>
        <v>krmtroysuryo2</v>
      </c>
      <c r="J38" s="65"/>
      <c r="K38" s="65"/>
      <c r="L38" s="64"/>
      <c r="M38" s="68"/>
      <c r="N38" s="69">
        <v>8591.12109375</v>
      </c>
      <c r="O38" s="69">
        <v>5539.9931640625</v>
      </c>
      <c r="P38" s="70"/>
      <c r="Q38" s="71"/>
      <c r="R38" s="71"/>
      <c r="S38" s="78"/>
      <c r="T38" s="44">
        <v>2</v>
      </c>
      <c r="U38" s="44">
        <v>1</v>
      </c>
      <c r="V38" s="45">
        <v>0</v>
      </c>
      <c r="W38" s="45">
        <v>0.003876</v>
      </c>
      <c r="X38" s="45">
        <v>0</v>
      </c>
      <c r="Y38" s="45">
        <v>0.00413</v>
      </c>
      <c r="Z38" s="45">
        <v>0</v>
      </c>
      <c r="AA38" s="45">
        <v>0</v>
      </c>
      <c r="AB38" s="66">
        <v>38</v>
      </c>
      <c r="AC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8" s="67"/>
      <c r="AE38" t="s">
        <v>1756</v>
      </c>
      <c r="AF38" s="74" t="s">
        <v>1468</v>
      </c>
      <c r="AG38">
        <v>90750</v>
      </c>
      <c r="AH38">
        <v>1495</v>
      </c>
      <c r="AI38">
        <v>4091</v>
      </c>
      <c r="AJ38">
        <v>44</v>
      </c>
      <c r="AK38">
        <v>136533</v>
      </c>
      <c r="AL38">
        <v>3267</v>
      </c>
      <c r="AM38" t="b">
        <v>0</v>
      </c>
      <c r="AN38" s="73">
        <v>42973.29605324074</v>
      </c>
      <c r="AO38" t="s">
        <v>2003</v>
      </c>
      <c r="AP38" t="s">
        <v>2221</v>
      </c>
      <c r="AQ38" s="76" t="str">
        <f>HYPERLINK("https://t.co/abKvoYV0Eg")</f>
        <v>https://t.co/abKvoYV0Eg</v>
      </c>
      <c r="AR38" s="76" t="str">
        <f>HYPERLINK("https://twitter.com/KRMTRoySuryo2")</f>
        <v>https://twitter.com/KRMTRoySuryo2</v>
      </c>
      <c r="AS38" t="s">
        <v>2317</v>
      </c>
      <c r="AW38">
        <v>1.54927697646411E+18</v>
      </c>
      <c r="AX38" s="76" t="str">
        <f>HYPERLINK("https://t.co/abKvoYV0Eg")</f>
        <v>https://t.co/abKvoYV0Eg</v>
      </c>
      <c r="AY38" t="b">
        <v>0</v>
      </c>
      <c r="BB38" t="b">
        <v>0</v>
      </c>
      <c r="BC38" t="b">
        <v>1</v>
      </c>
      <c r="BD38" t="b">
        <v>1</v>
      </c>
      <c r="BE38" t="b">
        <v>0</v>
      </c>
      <c r="BF38" t="b">
        <v>1</v>
      </c>
      <c r="BG38" t="b">
        <v>0</v>
      </c>
      <c r="BH38" t="b">
        <v>0</v>
      </c>
      <c r="BI38" s="76" t="str">
        <f>HYPERLINK("https://pbs.twimg.com/profile_banners/901340008820260864/1653900838")</f>
        <v>https://pbs.twimg.com/profile_banners/901340008820260864/1653900838</v>
      </c>
      <c r="BK38" t="s">
        <v>2343</v>
      </c>
      <c r="BL38" t="b">
        <v>0</v>
      </c>
      <c r="BN38" t="s">
        <v>66</v>
      </c>
      <c r="BO38" t="s">
        <v>2345</v>
      </c>
      <c r="BP38" s="76" t="str">
        <f>HYPERLINK("https://twitter.com/krmtroysuryo2")</f>
        <v>https://twitter.com/krmtroysuryo2</v>
      </c>
      <c r="BQ38" s="44"/>
      <c r="BR38" s="44"/>
      <c r="BS38" s="44"/>
      <c r="BT38" s="44"/>
      <c r="BU38" s="44"/>
      <c r="BV38" s="44"/>
      <c r="BW38" s="95" t="s">
        <v>2461</v>
      </c>
      <c r="BX38" s="95" t="s">
        <v>2461</v>
      </c>
      <c r="BY38" s="95" t="s">
        <v>2560</v>
      </c>
      <c r="BZ38" s="95" t="s">
        <v>2560</v>
      </c>
      <c r="CA38" s="95">
        <v>2</v>
      </c>
      <c r="CB38" s="98">
        <v>5.128205128205129</v>
      </c>
      <c r="CC38" s="95">
        <v>1</v>
      </c>
      <c r="CD38" s="98">
        <v>2.5641025641025643</v>
      </c>
      <c r="CE38" s="95">
        <v>0</v>
      </c>
      <c r="CF38" s="98">
        <v>0</v>
      </c>
      <c r="CG38" s="95">
        <v>36</v>
      </c>
      <c r="CH38" s="98">
        <v>92.3076923076923</v>
      </c>
      <c r="CI38" s="95">
        <v>39</v>
      </c>
      <c r="CJ38" s="116" t="str">
        <f>REPLACE(INDEX(GroupVertices[Group],MATCH("~"&amp;Vertices[[#This Row],[Vertex]],GroupVertices[Vertex],0)),1,1,"")</f>
        <v>38</v>
      </c>
      <c r="CK38" s="95"/>
      <c r="CL38" s="95"/>
      <c r="CM38" s="95"/>
      <c r="CN38" s="95"/>
      <c r="CO38" s="2"/>
    </row>
    <row r="39" spans="1:93" ht="41.45" customHeight="1">
      <c r="A39" s="59" t="s">
        <v>281</v>
      </c>
      <c r="C39" s="60"/>
      <c r="D39" s="60" t="s">
        <v>64</v>
      </c>
      <c r="E39" s="61">
        <v>6.862902905357387</v>
      </c>
      <c r="F39" s="63"/>
      <c r="G39" s="92" t="str">
        <f>HYPERLINK("https://pbs.twimg.com/profile_images/1726242161098911744/UfTnS4oE_normal.jpg")</f>
        <v>https://pbs.twimg.com/profile_images/1726242161098911744/UfTnS4oE_normal.jpg</v>
      </c>
      <c r="H39" s="60"/>
      <c r="I39" s="64" t="str">
        <f>Vertices[[#This Row],[Vertex]]</f>
        <v>lovelyb1e</v>
      </c>
      <c r="J39" s="65"/>
      <c r="K39" s="65"/>
      <c r="L39" s="64"/>
      <c r="M39" s="68"/>
      <c r="N39" s="69">
        <v>9527.857421875</v>
      </c>
      <c r="O39" s="69">
        <v>7048.8447265625</v>
      </c>
      <c r="P39" s="70"/>
      <c r="Q39" s="71"/>
      <c r="R39" s="71"/>
      <c r="S39" s="78"/>
      <c r="T39" s="44">
        <v>2</v>
      </c>
      <c r="U39" s="44">
        <v>1</v>
      </c>
      <c r="V39" s="45">
        <v>0</v>
      </c>
      <c r="W39" s="45">
        <v>0.003876</v>
      </c>
      <c r="X39" s="45">
        <v>0</v>
      </c>
      <c r="Y39" s="45">
        <v>0.003861</v>
      </c>
      <c r="Z39" s="45">
        <v>0</v>
      </c>
      <c r="AA39" s="45">
        <v>0</v>
      </c>
      <c r="AB39" s="66">
        <v>39</v>
      </c>
      <c r="AC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9" s="67"/>
      <c r="AE39" t="s">
        <v>1587</v>
      </c>
      <c r="AF39" s="74" t="s">
        <v>1443</v>
      </c>
      <c r="AG39">
        <v>10332</v>
      </c>
      <c r="AH39">
        <v>4879</v>
      </c>
      <c r="AI39">
        <v>22631</v>
      </c>
      <c r="AJ39">
        <v>4</v>
      </c>
      <c r="AK39">
        <v>28576</v>
      </c>
      <c r="AL39">
        <v>3864</v>
      </c>
      <c r="AM39" t="b">
        <v>0</v>
      </c>
      <c r="AN39" s="73">
        <v>44025.791041666664</v>
      </c>
      <c r="AO39" t="s">
        <v>1955</v>
      </c>
      <c r="AP39" t="s">
        <v>2068</v>
      </c>
      <c r="AW39">
        <v>1.71925257899385E+18</v>
      </c>
      <c r="AY39" t="b">
        <v>0</v>
      </c>
      <c r="BB39" t="b">
        <v>0</v>
      </c>
      <c r="BC39" t="b">
        <v>0</v>
      </c>
      <c r="BD39" t="b">
        <v>1</v>
      </c>
      <c r="BE39" t="b">
        <v>0</v>
      </c>
      <c r="BF39" t="b">
        <v>1</v>
      </c>
      <c r="BG39" t="b">
        <v>0</v>
      </c>
      <c r="BH39" t="b">
        <v>0</v>
      </c>
      <c r="BI39" s="76" t="str">
        <f>HYPERLINK("https://pbs.twimg.com/profile_banners/1282751327588585473/1700393741")</f>
        <v>https://pbs.twimg.com/profile_banners/1282751327588585473/1700393741</v>
      </c>
      <c r="BK39" t="s">
        <v>2343</v>
      </c>
      <c r="BL39" t="b">
        <v>0</v>
      </c>
      <c r="BN39" t="s">
        <v>66</v>
      </c>
      <c r="BO39" t="s">
        <v>2345</v>
      </c>
      <c r="BP39" s="76" t="str">
        <f>HYPERLINK("https://twitter.com/lovelyb1e")</f>
        <v>https://twitter.com/lovelyb1e</v>
      </c>
      <c r="BQ39" s="44"/>
      <c r="BR39" s="44"/>
      <c r="BS39" s="44"/>
      <c r="BT39" s="44"/>
      <c r="BU39" s="44"/>
      <c r="BV39" s="44"/>
      <c r="BW39" s="95" t="s">
        <v>11415</v>
      </c>
      <c r="BX39" s="95" t="s">
        <v>11415</v>
      </c>
      <c r="BY39" s="95" t="s">
        <v>2509</v>
      </c>
      <c r="BZ39" s="95" t="s">
        <v>2509</v>
      </c>
      <c r="CA39" s="95">
        <v>3</v>
      </c>
      <c r="CB39" s="98">
        <v>10</v>
      </c>
      <c r="CC39" s="95">
        <v>0</v>
      </c>
      <c r="CD39" s="98">
        <v>0</v>
      </c>
      <c r="CE39" s="95">
        <v>0</v>
      </c>
      <c r="CF39" s="98">
        <v>0</v>
      </c>
      <c r="CG39" s="95">
        <v>27</v>
      </c>
      <c r="CH39" s="98">
        <v>90</v>
      </c>
      <c r="CI39" s="95">
        <v>30</v>
      </c>
      <c r="CJ39" s="116" t="str">
        <f>REPLACE(INDEX(GroupVertices[Group],MATCH("~"&amp;Vertices[[#This Row],[Vertex]],GroupVertices[Vertex],0)),1,1,"")</f>
        <v>41</v>
      </c>
      <c r="CK39" s="95"/>
      <c r="CL39" s="95"/>
      <c r="CM39" s="95"/>
      <c r="CN39" s="95"/>
      <c r="CO39" s="2"/>
    </row>
    <row r="40" spans="1:93" ht="41.45" customHeight="1">
      <c r="A40" s="59" t="s">
        <v>324</v>
      </c>
      <c r="C40" s="60"/>
      <c r="D40" s="60" t="s">
        <v>64</v>
      </c>
      <c r="E40" s="61">
        <v>6.862902905357387</v>
      </c>
      <c r="F40" s="63"/>
      <c r="G40" s="92" t="str">
        <f>HYPERLINK("https://pbs.twimg.com/profile_images/1483567150703202304/zFe_c-U0_normal.jpg")</f>
        <v>https://pbs.twimg.com/profile_images/1483567150703202304/zFe_c-U0_normal.jpg</v>
      </c>
      <c r="H40" s="60"/>
      <c r="I40" s="64" t="str">
        <f>Vertices[[#This Row],[Vertex]]</f>
        <v>dek_bintank</v>
      </c>
      <c r="J40" s="65"/>
      <c r="K40" s="65"/>
      <c r="L40" s="64"/>
      <c r="M40" s="68"/>
      <c r="N40" s="69">
        <v>8136.1923828125</v>
      </c>
      <c r="O40" s="69">
        <v>3130.32373046875</v>
      </c>
      <c r="P40" s="70"/>
      <c r="Q40" s="71"/>
      <c r="R40" s="71"/>
      <c r="S40" s="78"/>
      <c r="T40" s="44">
        <v>2</v>
      </c>
      <c r="U40" s="44">
        <v>1</v>
      </c>
      <c r="V40" s="45">
        <v>0</v>
      </c>
      <c r="W40" s="45">
        <v>0.003876</v>
      </c>
      <c r="X40" s="45">
        <v>0</v>
      </c>
      <c r="Y40" s="45">
        <v>0.00413</v>
      </c>
      <c r="Z40" s="45">
        <v>0</v>
      </c>
      <c r="AA40" s="45">
        <v>0</v>
      </c>
      <c r="AB40" s="66">
        <v>40</v>
      </c>
      <c r="AC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0" s="67"/>
      <c r="AE40" t="s">
        <v>1771</v>
      </c>
      <c r="AF40" s="74" t="s">
        <v>1471</v>
      </c>
      <c r="AG40">
        <v>2362</v>
      </c>
      <c r="AH40">
        <v>2574</v>
      </c>
      <c r="AI40">
        <v>3222</v>
      </c>
      <c r="AJ40">
        <v>0</v>
      </c>
      <c r="AK40">
        <v>25199</v>
      </c>
      <c r="AL40">
        <v>1258</v>
      </c>
      <c r="AM40" t="b">
        <v>0</v>
      </c>
      <c r="AN40" s="73">
        <v>44166.497094907405</v>
      </c>
      <c r="AO40" t="s">
        <v>2008</v>
      </c>
      <c r="AP40" t="s">
        <v>2234</v>
      </c>
      <c r="AY40" t="b">
        <v>0</v>
      </c>
      <c r="BB40" t="b">
        <v>0</v>
      </c>
      <c r="BC40" t="b">
        <v>1</v>
      </c>
      <c r="BD40" t="b">
        <v>1</v>
      </c>
      <c r="BE40" t="b">
        <v>0</v>
      </c>
      <c r="BF40" t="b">
        <v>0</v>
      </c>
      <c r="BG40" t="b">
        <v>0</v>
      </c>
      <c r="BH40" t="b">
        <v>0</v>
      </c>
      <c r="BI40" s="76" t="str">
        <f>HYPERLINK("https://pbs.twimg.com/profile_banners/1333741476153421825/1627786202")</f>
        <v>https://pbs.twimg.com/profile_banners/1333741476153421825/1627786202</v>
      </c>
      <c r="BK40" t="s">
        <v>2343</v>
      </c>
      <c r="BL40" t="b">
        <v>0</v>
      </c>
      <c r="BN40" t="s">
        <v>66</v>
      </c>
      <c r="BO40" t="s">
        <v>2345</v>
      </c>
      <c r="BP40" s="76" t="str">
        <f>HYPERLINK("https://twitter.com/dek_bintank")</f>
        <v>https://twitter.com/dek_bintank</v>
      </c>
      <c r="BQ40" s="44"/>
      <c r="BR40" s="44"/>
      <c r="BS40" s="44"/>
      <c r="BT40" s="44"/>
      <c r="BU40" s="44"/>
      <c r="BV40" s="44"/>
      <c r="BW40" s="95" t="s">
        <v>11416</v>
      </c>
      <c r="BX40" s="95" t="s">
        <v>11416</v>
      </c>
      <c r="BY40" s="95" t="s">
        <v>2566</v>
      </c>
      <c r="BZ40" s="95" t="s">
        <v>2566</v>
      </c>
      <c r="CA40" s="95">
        <v>3</v>
      </c>
      <c r="CB40" s="98">
        <v>27.272727272727273</v>
      </c>
      <c r="CC40" s="95">
        <v>0</v>
      </c>
      <c r="CD40" s="98">
        <v>0</v>
      </c>
      <c r="CE40" s="95">
        <v>0</v>
      </c>
      <c r="CF40" s="98">
        <v>0</v>
      </c>
      <c r="CG40" s="95">
        <v>8</v>
      </c>
      <c r="CH40" s="98">
        <v>72.72727272727273</v>
      </c>
      <c r="CI40" s="95">
        <v>11</v>
      </c>
      <c r="CJ40" s="116" t="str">
        <f>REPLACE(INDEX(GroupVertices[Group],MATCH("~"&amp;Vertices[[#This Row],[Vertex]],GroupVertices[Vertex],0)),1,1,"")</f>
        <v>37</v>
      </c>
      <c r="CK40" s="95"/>
      <c r="CL40" s="95"/>
      <c r="CM40" s="95"/>
      <c r="CN40" s="95"/>
      <c r="CO40" s="2"/>
    </row>
    <row r="41" spans="1:93" ht="41.45" customHeight="1">
      <c r="A41" s="59" t="s">
        <v>271</v>
      </c>
      <c r="C41" s="60"/>
      <c r="D41" s="60" t="s">
        <v>64</v>
      </c>
      <c r="E41" s="61">
        <v>6.862902905357387</v>
      </c>
      <c r="F41" s="63"/>
      <c r="G41" s="92" t="str">
        <f>HYPERLINK("https://pbs.twimg.com/profile_images/1717202626813837312/i2vuLpOg_normal.jpg")</f>
        <v>https://pbs.twimg.com/profile_images/1717202626813837312/i2vuLpOg_normal.jpg</v>
      </c>
      <c r="H41" s="60"/>
      <c r="I41" s="64" t="str">
        <f>Vertices[[#This Row],[Vertex]]</f>
        <v>salamdiaha</v>
      </c>
      <c r="J41" s="65"/>
      <c r="K41" s="65"/>
      <c r="L41" s="64"/>
      <c r="M41" s="68"/>
      <c r="N41" s="69">
        <v>8591.1787109375</v>
      </c>
      <c r="O41" s="69">
        <v>3693.296142578125</v>
      </c>
      <c r="P41" s="70"/>
      <c r="Q41" s="71"/>
      <c r="R41" s="71"/>
      <c r="S41" s="78"/>
      <c r="T41" s="44">
        <v>2</v>
      </c>
      <c r="U41" s="44">
        <v>1</v>
      </c>
      <c r="V41" s="45">
        <v>0</v>
      </c>
      <c r="W41" s="45">
        <v>0.003876</v>
      </c>
      <c r="X41" s="45">
        <v>0</v>
      </c>
      <c r="Y41" s="45">
        <v>0.00413</v>
      </c>
      <c r="Z41" s="45">
        <v>0</v>
      </c>
      <c r="AA41" s="45">
        <v>0</v>
      </c>
      <c r="AB41" s="66">
        <v>41</v>
      </c>
      <c r="AC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1" s="67"/>
      <c r="AE41" t="s">
        <v>1561</v>
      </c>
      <c r="AF41" s="74" t="s">
        <v>1326</v>
      </c>
      <c r="AG41">
        <v>1659</v>
      </c>
      <c r="AH41">
        <v>1384</v>
      </c>
      <c r="AI41">
        <v>4383</v>
      </c>
      <c r="AJ41">
        <v>0</v>
      </c>
      <c r="AK41">
        <v>4713</v>
      </c>
      <c r="AL41">
        <v>240</v>
      </c>
      <c r="AM41" t="b">
        <v>0</v>
      </c>
      <c r="AN41" s="73">
        <v>44550.394733796296</v>
      </c>
      <c r="AY41" t="b">
        <v>0</v>
      </c>
      <c r="BB41" t="b">
        <v>0</v>
      </c>
      <c r="BC41" t="b">
        <v>1</v>
      </c>
      <c r="BD41" t="b">
        <v>1</v>
      </c>
      <c r="BE41" t="b">
        <v>0</v>
      </c>
      <c r="BF41" t="b">
        <v>1</v>
      </c>
      <c r="BG41" t="b">
        <v>0</v>
      </c>
      <c r="BH41" t="b">
        <v>0</v>
      </c>
      <c r="BI41" s="76" t="str">
        <f>HYPERLINK("https://pbs.twimg.com/profile_banners/1472861286689959938/1700050366")</f>
        <v>https://pbs.twimg.com/profile_banners/1472861286689959938/1700050366</v>
      </c>
      <c r="BK41" t="s">
        <v>2343</v>
      </c>
      <c r="BL41" t="b">
        <v>0</v>
      </c>
      <c r="BN41" t="s">
        <v>66</v>
      </c>
      <c r="BO41" t="s">
        <v>2345</v>
      </c>
      <c r="BP41" s="76" t="str">
        <f>HYPERLINK("https://twitter.com/salamdiaha")</f>
        <v>https://twitter.com/salamdiaha</v>
      </c>
      <c r="BQ41" s="44"/>
      <c r="BR41" s="44"/>
      <c r="BS41" s="44"/>
      <c r="BT41" s="44"/>
      <c r="BU41" s="44" t="s">
        <v>2363</v>
      </c>
      <c r="BV41" s="44" t="s">
        <v>2363</v>
      </c>
      <c r="BW41" s="95" t="s">
        <v>11417</v>
      </c>
      <c r="BX41" s="95" t="s">
        <v>11417</v>
      </c>
      <c r="BY41" s="95" t="s">
        <v>2494</v>
      </c>
      <c r="BZ41" s="95" t="s">
        <v>2494</v>
      </c>
      <c r="CA41" s="95">
        <v>3</v>
      </c>
      <c r="CB41" s="98">
        <v>42.857142857142854</v>
      </c>
      <c r="CC41" s="95">
        <v>0</v>
      </c>
      <c r="CD41" s="98">
        <v>0</v>
      </c>
      <c r="CE41" s="95">
        <v>0</v>
      </c>
      <c r="CF41" s="98">
        <v>0</v>
      </c>
      <c r="CG41" s="95">
        <v>4</v>
      </c>
      <c r="CH41" s="98">
        <v>57.142857142857146</v>
      </c>
      <c r="CI41" s="95">
        <v>7</v>
      </c>
      <c r="CJ41" s="116" t="str">
        <f>REPLACE(INDEX(GroupVertices[Group],MATCH("~"&amp;Vertices[[#This Row],[Vertex]],GroupVertices[Vertex],0)),1,1,"")</f>
        <v>39</v>
      </c>
      <c r="CK41" s="95"/>
      <c r="CL41" s="95"/>
      <c r="CM41" s="95" t="s">
        <v>2363</v>
      </c>
      <c r="CN41" s="95" t="s">
        <v>2363</v>
      </c>
      <c r="CO41" s="2"/>
    </row>
    <row r="42" spans="1:93" ht="41.45" customHeight="1">
      <c r="A42" s="59" t="s">
        <v>245</v>
      </c>
      <c r="C42" s="60"/>
      <c r="D42" s="60" t="s">
        <v>64</v>
      </c>
      <c r="E42" s="61">
        <v>1.5</v>
      </c>
      <c r="F42" s="63"/>
      <c r="G42" s="92" t="str">
        <f>HYPERLINK("https://pbs.twimg.com/profile_images/1210455325553254400/hZBCLWzB_normal.jpg")</f>
        <v>https://pbs.twimg.com/profile_images/1210455325553254400/hZBCLWzB_normal.jpg</v>
      </c>
      <c r="H42" s="60"/>
      <c r="I42" s="64" t="str">
        <f>Vertices[[#This Row],[Vertex]]</f>
        <v>bonco19</v>
      </c>
      <c r="J42" s="65"/>
      <c r="K42" s="65"/>
      <c r="L42" s="64"/>
      <c r="M42" s="68"/>
      <c r="N42" s="69">
        <v>3402.358642578125</v>
      </c>
      <c r="O42" s="69">
        <v>2690.036865234375</v>
      </c>
      <c r="P42" s="70"/>
      <c r="Q42" s="71"/>
      <c r="R42" s="71"/>
      <c r="S42" s="78"/>
      <c r="T42" s="44">
        <v>1</v>
      </c>
      <c r="U42" s="44">
        <v>6</v>
      </c>
      <c r="V42" s="45">
        <v>1676.829004</v>
      </c>
      <c r="W42" s="45">
        <v>0.152748</v>
      </c>
      <c r="X42" s="45">
        <v>0.010416</v>
      </c>
      <c r="Y42" s="45">
        <v>0.004504</v>
      </c>
      <c r="Z42" s="45">
        <v>0</v>
      </c>
      <c r="AA42" s="45">
        <v>0</v>
      </c>
      <c r="AB42" s="66">
        <v>42</v>
      </c>
      <c r="AC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2" s="67"/>
      <c r="AE42" t="s">
        <v>1581</v>
      </c>
      <c r="AF42" s="74" t="s">
        <v>1814</v>
      </c>
      <c r="AG42">
        <v>491</v>
      </c>
      <c r="AH42">
        <v>1012</v>
      </c>
      <c r="AI42">
        <v>5335</v>
      </c>
      <c r="AJ42">
        <v>0</v>
      </c>
      <c r="AK42">
        <v>2989</v>
      </c>
      <c r="AL42">
        <v>243</v>
      </c>
      <c r="AM42" t="b">
        <v>0</v>
      </c>
      <c r="AN42" s="73">
        <v>39926.11876157407</v>
      </c>
      <c r="AO42" t="s">
        <v>1953</v>
      </c>
      <c r="AP42" t="s">
        <v>2062</v>
      </c>
      <c r="AY42" t="b">
        <v>0</v>
      </c>
      <c r="BB42" t="b">
        <v>0</v>
      </c>
      <c r="BC42" t="b">
        <v>0</v>
      </c>
      <c r="BD42" t="b">
        <v>1</v>
      </c>
      <c r="BE42" t="b">
        <v>0</v>
      </c>
      <c r="BF42" t="b">
        <v>1</v>
      </c>
      <c r="BG42" t="b">
        <v>0</v>
      </c>
      <c r="BH42" t="b">
        <v>0</v>
      </c>
      <c r="BI42" s="76" t="str">
        <f>HYPERLINK("https://pbs.twimg.com/profile_banners/34505885/1632279062")</f>
        <v>https://pbs.twimg.com/profile_banners/34505885/1632279062</v>
      </c>
      <c r="BK42" t="s">
        <v>2343</v>
      </c>
      <c r="BL42" t="b">
        <v>0</v>
      </c>
      <c r="BN42" t="s">
        <v>66</v>
      </c>
      <c r="BO42" t="s">
        <v>2345</v>
      </c>
      <c r="BP42" s="76" t="str">
        <f>HYPERLINK("https://twitter.com/bonco19")</f>
        <v>https://twitter.com/bonco19</v>
      </c>
      <c r="BQ42" s="44" t="s">
        <v>2409</v>
      </c>
      <c r="BR42" s="44" t="s">
        <v>2409</v>
      </c>
      <c r="BS42" s="44" t="s">
        <v>711</v>
      </c>
      <c r="BT42" s="44" t="s">
        <v>711</v>
      </c>
      <c r="BU42" s="44" t="s">
        <v>2415</v>
      </c>
      <c r="BV42" s="44" t="s">
        <v>2423</v>
      </c>
      <c r="BW42" s="95" t="s">
        <v>11418</v>
      </c>
      <c r="BX42" s="95" t="s">
        <v>11474</v>
      </c>
      <c r="BY42" s="95" t="s">
        <v>3447</v>
      </c>
      <c r="BZ42" s="95" t="s">
        <v>3461</v>
      </c>
      <c r="CA42" s="95">
        <v>23</v>
      </c>
      <c r="CB42" s="98">
        <v>34.32835820895522</v>
      </c>
      <c r="CC42" s="95">
        <v>1</v>
      </c>
      <c r="CD42" s="98">
        <v>1.492537313432836</v>
      </c>
      <c r="CE42" s="95">
        <v>0</v>
      </c>
      <c r="CF42" s="98">
        <v>0</v>
      </c>
      <c r="CG42" s="95">
        <v>43</v>
      </c>
      <c r="CH42" s="98">
        <v>64.17910447761194</v>
      </c>
      <c r="CI42" s="95">
        <v>67</v>
      </c>
      <c r="CJ42" s="116" t="str">
        <f>REPLACE(INDEX(GroupVertices[Group],MATCH("~"&amp;Vertices[[#This Row],[Vertex]],GroupVertices[Vertex],0)),1,1,"")</f>
        <v>6</v>
      </c>
      <c r="CK42" s="95" t="s">
        <v>2409</v>
      </c>
      <c r="CL42" s="95" t="s">
        <v>2409</v>
      </c>
      <c r="CM42" s="95" t="s">
        <v>2415</v>
      </c>
      <c r="CN42" s="95" t="s">
        <v>2423</v>
      </c>
      <c r="CO42" s="2"/>
    </row>
    <row r="43" spans="1:93" ht="41.45" customHeight="1">
      <c r="A43" s="59" t="s">
        <v>262</v>
      </c>
      <c r="C43" s="60"/>
      <c r="D43" s="60" t="s">
        <v>64</v>
      </c>
      <c r="E43" s="61">
        <v>1.5</v>
      </c>
      <c r="F43" s="63"/>
      <c r="G43" s="92" t="str">
        <f>HYPERLINK("https://pbs.twimg.com/profile_images/1685494956864180224/Y08DGzcI_normal.jpg")</f>
        <v>https://pbs.twimg.com/profile_images/1685494956864180224/Y08DGzcI_normal.jpg</v>
      </c>
      <c r="H43" s="60"/>
      <c r="I43" s="64" t="str">
        <f>Vertices[[#This Row],[Vertex]]</f>
        <v>vandinnie</v>
      </c>
      <c r="J43" s="65"/>
      <c r="K43" s="65"/>
      <c r="L43" s="64"/>
      <c r="M43" s="68"/>
      <c r="N43" s="69">
        <v>6322.6298828125</v>
      </c>
      <c r="O43" s="69">
        <v>5426.533203125</v>
      </c>
      <c r="P43" s="70"/>
      <c r="Q43" s="71"/>
      <c r="R43" s="71"/>
      <c r="S43" s="78"/>
      <c r="T43" s="44">
        <v>1</v>
      </c>
      <c r="U43" s="44">
        <v>4</v>
      </c>
      <c r="V43" s="45">
        <v>642.04632</v>
      </c>
      <c r="W43" s="45">
        <v>0.148742</v>
      </c>
      <c r="X43" s="45">
        <v>0.007002</v>
      </c>
      <c r="Y43" s="45">
        <v>0.003885</v>
      </c>
      <c r="Z43" s="45">
        <v>0</v>
      </c>
      <c r="AA43" s="45">
        <v>0</v>
      </c>
      <c r="AB43" s="66">
        <v>43</v>
      </c>
      <c r="AC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3" s="67"/>
      <c r="AE43" t="s">
        <v>1621</v>
      </c>
      <c r="AF43" s="74" t="s">
        <v>1430</v>
      </c>
      <c r="AG43">
        <v>998</v>
      </c>
      <c r="AH43">
        <v>594</v>
      </c>
      <c r="AI43">
        <v>9206</v>
      </c>
      <c r="AJ43">
        <v>1</v>
      </c>
      <c r="AK43">
        <v>5529</v>
      </c>
      <c r="AL43">
        <v>1181</v>
      </c>
      <c r="AM43" t="b">
        <v>0</v>
      </c>
      <c r="AN43" s="73">
        <v>44202.585173611114</v>
      </c>
      <c r="AP43" t="s">
        <v>2098</v>
      </c>
      <c r="AY43" t="b">
        <v>0</v>
      </c>
      <c r="BB43" t="b">
        <v>1</v>
      </c>
      <c r="BC43" t="b">
        <v>1</v>
      </c>
      <c r="BD43" t="b">
        <v>1</v>
      </c>
      <c r="BE43" t="b">
        <v>0</v>
      </c>
      <c r="BF43" t="b">
        <v>1</v>
      </c>
      <c r="BG43" t="b">
        <v>0</v>
      </c>
      <c r="BH43" t="b">
        <v>0</v>
      </c>
      <c r="BI43" s="76" t="str">
        <f>HYPERLINK("https://pbs.twimg.com/profile_banners/1346819369104416768/1690688284")</f>
        <v>https://pbs.twimg.com/profile_banners/1346819369104416768/1690688284</v>
      </c>
      <c r="BK43" t="s">
        <v>2343</v>
      </c>
      <c r="BL43" t="b">
        <v>0</v>
      </c>
      <c r="BN43" t="s">
        <v>66</v>
      </c>
      <c r="BO43" t="s">
        <v>2345</v>
      </c>
      <c r="BP43" s="76" t="str">
        <f>HYPERLINK("https://twitter.com/vandinnie")</f>
        <v>https://twitter.com/vandinnie</v>
      </c>
      <c r="BQ43" s="44"/>
      <c r="BR43" s="44"/>
      <c r="BS43" s="44"/>
      <c r="BT43" s="44"/>
      <c r="BU43" s="44" t="s">
        <v>3420</v>
      </c>
      <c r="BV43" s="44" t="s">
        <v>3422</v>
      </c>
      <c r="BW43" s="95" t="s">
        <v>3431</v>
      </c>
      <c r="BX43" s="95" t="s">
        <v>3438</v>
      </c>
      <c r="BY43" s="95" t="s">
        <v>3454</v>
      </c>
      <c r="BZ43" s="95" t="s">
        <v>3454</v>
      </c>
      <c r="CA43" s="95">
        <v>9</v>
      </c>
      <c r="CB43" s="98">
        <v>16.071428571428573</v>
      </c>
      <c r="CC43" s="95">
        <v>3</v>
      </c>
      <c r="CD43" s="98">
        <v>5.357142857142857</v>
      </c>
      <c r="CE43" s="95">
        <v>0</v>
      </c>
      <c r="CF43" s="98">
        <v>0</v>
      </c>
      <c r="CG43" s="95">
        <v>44</v>
      </c>
      <c r="CH43" s="98">
        <v>78.57142857142857</v>
      </c>
      <c r="CI43" s="95">
        <v>56</v>
      </c>
      <c r="CJ43" s="116" t="str">
        <f>REPLACE(INDEX(GroupVertices[Group],MATCH("~"&amp;Vertices[[#This Row],[Vertex]],GroupVertices[Vertex],0)),1,1,"")</f>
        <v>11</v>
      </c>
      <c r="CK43" s="95"/>
      <c r="CL43" s="95"/>
      <c r="CM43" s="95" t="s">
        <v>3420</v>
      </c>
      <c r="CN43" s="95" t="s">
        <v>3422</v>
      </c>
      <c r="CO43" s="2"/>
    </row>
    <row r="44" spans="1:93" ht="41.45" customHeight="1">
      <c r="A44" s="59" t="s">
        <v>258</v>
      </c>
      <c r="C44" s="60"/>
      <c r="D44" s="60" t="s">
        <v>64</v>
      </c>
      <c r="E44" s="61">
        <v>1.5</v>
      </c>
      <c r="F44" s="63"/>
      <c r="G44" s="92" t="str">
        <f>HYPERLINK("https://pbs.twimg.com/profile_images/1317005572693135360/Yuc7YV6w_normal.jpg")</f>
        <v>https://pbs.twimg.com/profile_images/1317005572693135360/Yuc7YV6w_normal.jpg</v>
      </c>
      <c r="H44" s="60"/>
      <c r="I44" s="64" t="str">
        <f>Vertices[[#This Row],[Vertex]]</f>
        <v>fear37030</v>
      </c>
      <c r="J44" s="65"/>
      <c r="K44" s="65"/>
      <c r="L44" s="64"/>
      <c r="M44" s="68"/>
      <c r="N44" s="69">
        <v>7632.54541015625</v>
      </c>
      <c r="O44" s="69">
        <v>5067.0595703125</v>
      </c>
      <c r="P44" s="70"/>
      <c r="Q44" s="71"/>
      <c r="R44" s="71"/>
      <c r="S44" s="78"/>
      <c r="T44" s="44">
        <v>1</v>
      </c>
      <c r="U44" s="44">
        <v>3</v>
      </c>
      <c r="V44" s="45">
        <v>1154.7</v>
      </c>
      <c r="W44" s="45">
        <v>0.147054</v>
      </c>
      <c r="X44" s="45">
        <v>0.009448</v>
      </c>
      <c r="Y44" s="45">
        <v>0.003673</v>
      </c>
      <c r="Z44" s="45">
        <v>0</v>
      </c>
      <c r="AA44" s="45">
        <v>0</v>
      </c>
      <c r="AB44" s="66">
        <v>44</v>
      </c>
      <c r="AC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4" s="67"/>
      <c r="AE44" t="s">
        <v>1616</v>
      </c>
      <c r="AF44" s="74" t="s">
        <v>1826</v>
      </c>
      <c r="AG44">
        <v>1093</v>
      </c>
      <c r="AH44">
        <v>1882</v>
      </c>
      <c r="AI44">
        <v>48180</v>
      </c>
      <c r="AJ44">
        <v>0</v>
      </c>
      <c r="AK44">
        <v>100099</v>
      </c>
      <c r="AL44">
        <v>2716</v>
      </c>
      <c r="AM44" t="b">
        <v>0</v>
      </c>
      <c r="AN44" s="73">
        <v>40069.761087962965</v>
      </c>
      <c r="AP44" t="s">
        <v>2093</v>
      </c>
      <c r="AY44" t="b">
        <v>0</v>
      </c>
      <c r="BB44" t="b">
        <v>0</v>
      </c>
      <c r="BC44" t="b">
        <v>0</v>
      </c>
      <c r="BD44" t="b">
        <v>1</v>
      </c>
      <c r="BE44" t="b">
        <v>0</v>
      </c>
      <c r="BF44" t="b">
        <v>1</v>
      </c>
      <c r="BG44" t="b">
        <v>0</v>
      </c>
      <c r="BH44" t="b">
        <v>0</v>
      </c>
      <c r="BI44" s="76" t="str">
        <f>HYPERLINK("https://pbs.twimg.com/profile_banners/73938469/1602833569")</f>
        <v>https://pbs.twimg.com/profile_banners/73938469/1602833569</v>
      </c>
      <c r="BK44" t="s">
        <v>2343</v>
      </c>
      <c r="BL44" t="b">
        <v>0</v>
      </c>
      <c r="BN44" t="s">
        <v>66</v>
      </c>
      <c r="BO44" t="s">
        <v>2345</v>
      </c>
      <c r="BP44" s="76" t="str">
        <f>HYPERLINK("https://twitter.com/fear37030")</f>
        <v>https://twitter.com/fear37030</v>
      </c>
      <c r="BQ44" s="44"/>
      <c r="BR44" s="44"/>
      <c r="BS44" s="44"/>
      <c r="BT44" s="44"/>
      <c r="BU44" s="44" t="s">
        <v>3419</v>
      </c>
      <c r="BV44" s="44" t="s">
        <v>3421</v>
      </c>
      <c r="BW44" s="95" t="s">
        <v>11419</v>
      </c>
      <c r="BX44" s="95" t="s">
        <v>3437</v>
      </c>
      <c r="BY44" s="95" t="s">
        <v>3451</v>
      </c>
      <c r="BZ44" s="95" t="s">
        <v>2582</v>
      </c>
      <c r="CA44" s="95">
        <v>6</v>
      </c>
      <c r="CB44" s="98">
        <v>7.228915662650603</v>
      </c>
      <c r="CC44" s="95">
        <v>4</v>
      </c>
      <c r="CD44" s="98">
        <v>4.819277108433735</v>
      </c>
      <c r="CE44" s="95">
        <v>0</v>
      </c>
      <c r="CF44" s="98">
        <v>0</v>
      </c>
      <c r="CG44" s="95">
        <v>73</v>
      </c>
      <c r="CH44" s="98">
        <v>87.95180722891567</v>
      </c>
      <c r="CI44" s="95">
        <v>83</v>
      </c>
      <c r="CJ44" s="116" t="str">
        <f>REPLACE(INDEX(GroupVertices[Group],MATCH("~"&amp;Vertices[[#This Row],[Vertex]],GroupVertices[Vertex],0)),1,1,"")</f>
        <v>19</v>
      </c>
      <c r="CK44" s="95"/>
      <c r="CL44" s="95"/>
      <c r="CM44" s="95" t="s">
        <v>3419</v>
      </c>
      <c r="CN44" s="95" t="s">
        <v>3421</v>
      </c>
      <c r="CO44" s="2"/>
    </row>
    <row r="45" spans="1:93" ht="41.45" customHeight="1">
      <c r="A45" s="59" t="s">
        <v>479</v>
      </c>
      <c r="C45" s="60"/>
      <c r="D45" s="60" t="s">
        <v>64</v>
      </c>
      <c r="E45" s="61">
        <v>1.5</v>
      </c>
      <c r="F45" s="63"/>
      <c r="G45" s="92" t="str">
        <f>HYPERLINK("https://pbs.twimg.com/profile_images/502425434307325952/rSM_Y7eL_normal.jpeg")</f>
        <v>https://pbs.twimg.com/profile_images/502425434307325952/rSM_Y7eL_normal.jpeg</v>
      </c>
      <c r="H45" s="60"/>
      <c r="I45" s="64" t="str">
        <f>Vertices[[#This Row],[Vertex]]</f>
        <v>adhiemassardi</v>
      </c>
      <c r="J45" s="65"/>
      <c r="K45" s="65"/>
      <c r="L45" s="64"/>
      <c r="M45" s="68"/>
      <c r="N45" s="69">
        <v>4269.89208984375</v>
      </c>
      <c r="O45" s="69">
        <v>5602.5478515625</v>
      </c>
      <c r="P45" s="70"/>
      <c r="Q45" s="71"/>
      <c r="R45" s="71"/>
      <c r="S45" s="78"/>
      <c r="T45" s="44">
        <v>1</v>
      </c>
      <c r="U45" s="44">
        <v>0</v>
      </c>
      <c r="V45" s="45">
        <v>0</v>
      </c>
      <c r="W45" s="45">
        <v>0.144709</v>
      </c>
      <c r="X45" s="45">
        <v>0.004336</v>
      </c>
      <c r="Y45" s="45">
        <v>0.003344</v>
      </c>
      <c r="Z45" s="45">
        <v>0</v>
      </c>
      <c r="AA45" s="45">
        <v>0</v>
      </c>
      <c r="AB45" s="66">
        <v>45</v>
      </c>
      <c r="AC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5" s="67"/>
      <c r="AE45" t="s">
        <v>1780</v>
      </c>
      <c r="AF45" s="74" t="s">
        <v>1918</v>
      </c>
      <c r="AG45">
        <v>152417</v>
      </c>
      <c r="AH45">
        <v>199</v>
      </c>
      <c r="AI45">
        <v>16794</v>
      </c>
      <c r="AJ45">
        <v>56</v>
      </c>
      <c r="AK45">
        <v>421</v>
      </c>
      <c r="AL45">
        <v>1727</v>
      </c>
      <c r="AM45" t="b">
        <v>0</v>
      </c>
      <c r="AN45" s="73">
        <v>40029.66929398148</v>
      </c>
      <c r="AP45" t="s">
        <v>2241</v>
      </c>
      <c r="AY45" t="b">
        <v>0</v>
      </c>
      <c r="BB45" t="b">
        <v>0</v>
      </c>
      <c r="BC45" t="b">
        <v>0</v>
      </c>
      <c r="BD45" t="b">
        <v>0</v>
      </c>
      <c r="BE45" t="b">
        <v>0</v>
      </c>
      <c r="BF45" t="b">
        <v>0</v>
      </c>
      <c r="BG45" t="b">
        <v>0</v>
      </c>
      <c r="BH45" t="b">
        <v>0</v>
      </c>
      <c r="BI45" s="76" t="str">
        <f>HYPERLINK("https://pbs.twimg.com/profile_banners/62854021/1452483479")</f>
        <v>https://pbs.twimg.com/profile_banners/62854021/1452483479</v>
      </c>
      <c r="BK45" t="s">
        <v>2343</v>
      </c>
      <c r="BL45" t="b">
        <v>0</v>
      </c>
      <c r="BN45" t="s">
        <v>66</v>
      </c>
      <c r="BO45" t="s">
        <v>2345</v>
      </c>
      <c r="BP45" s="76" t="str">
        <f>HYPERLINK("https://twitter.com/adhiemassardi")</f>
        <v>https://twitter.com/adhiemassardi</v>
      </c>
      <c r="BQ45" s="44"/>
      <c r="BR45" s="44"/>
      <c r="BS45" s="44"/>
      <c r="BT45" s="44"/>
      <c r="BU45" s="44"/>
      <c r="BV45" s="44"/>
      <c r="BW45" s="44"/>
      <c r="BX45" s="44"/>
      <c r="BY45" s="44"/>
      <c r="BZ45" s="44"/>
      <c r="CA45" s="44"/>
      <c r="CB45" s="45"/>
      <c r="CC45" s="44"/>
      <c r="CD45" s="45"/>
      <c r="CE45" s="44"/>
      <c r="CF45" s="45"/>
      <c r="CG45" s="44"/>
      <c r="CH45" s="45"/>
      <c r="CI45" s="44"/>
      <c r="CJ45" s="112" t="str">
        <f>REPLACE(INDEX(GroupVertices[Group],MATCH("~"&amp;Vertices[[#This Row],[Vertex]],GroupVertices[Vertex],0)),1,1,"")</f>
        <v>5</v>
      </c>
      <c r="CK45" s="44"/>
      <c r="CL45" s="44"/>
      <c r="CM45" s="44"/>
      <c r="CN45" s="44"/>
      <c r="CO45" s="2"/>
    </row>
    <row r="46" spans="1:93" ht="41.45" customHeight="1">
      <c r="A46" s="59" t="s">
        <v>478</v>
      </c>
      <c r="C46" s="60"/>
      <c r="D46" s="60" t="s">
        <v>64</v>
      </c>
      <c r="E46" s="61">
        <v>1.5</v>
      </c>
      <c r="F46" s="63"/>
      <c r="G46" s="92" t="str">
        <f>HYPERLINK("https://pbs.twimg.com/profile_images/1370044410021355520/kaXm-v7A_normal.jpg")</f>
        <v>https://pbs.twimg.com/profile_images/1370044410021355520/kaXm-v7A_normal.jpg</v>
      </c>
      <c r="H46" s="60"/>
      <c r="I46" s="64" t="str">
        <f>Vertices[[#This Row],[Vertex]]</f>
        <v>acoybk</v>
      </c>
      <c r="J46" s="65"/>
      <c r="K46" s="65"/>
      <c r="L46" s="64"/>
      <c r="M46" s="68"/>
      <c r="N46" s="69">
        <v>4203.0654296875</v>
      </c>
      <c r="O46" s="69">
        <v>8016.0107421875</v>
      </c>
      <c r="P46" s="70"/>
      <c r="Q46" s="71"/>
      <c r="R46" s="71"/>
      <c r="S46" s="78"/>
      <c r="T46" s="44">
        <v>1</v>
      </c>
      <c r="U46" s="44">
        <v>0</v>
      </c>
      <c r="V46" s="45">
        <v>0</v>
      </c>
      <c r="W46" s="45">
        <v>0.144709</v>
      </c>
      <c r="X46" s="45">
        <v>0.004336</v>
      </c>
      <c r="Y46" s="45">
        <v>0.003344</v>
      </c>
      <c r="Z46" s="45">
        <v>0</v>
      </c>
      <c r="AA46" s="45">
        <v>0</v>
      </c>
      <c r="AB46" s="66">
        <v>46</v>
      </c>
      <c r="AC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6" s="67"/>
      <c r="AE46" t="s">
        <v>1779</v>
      </c>
      <c r="AF46" s="74" t="s">
        <v>1917</v>
      </c>
      <c r="AG46">
        <v>78</v>
      </c>
      <c r="AH46">
        <v>331</v>
      </c>
      <c r="AI46">
        <v>58369</v>
      </c>
      <c r="AJ46">
        <v>0</v>
      </c>
      <c r="AK46">
        <v>12728</v>
      </c>
      <c r="AL46">
        <v>47486</v>
      </c>
      <c r="AM46" t="b">
        <v>0</v>
      </c>
      <c r="AN46" s="73">
        <v>44236.39627314815</v>
      </c>
      <c r="AP46" t="s">
        <v>2240</v>
      </c>
      <c r="AY46" t="b">
        <v>0</v>
      </c>
      <c r="BB46" t="b">
        <v>1</v>
      </c>
      <c r="BC46" t="b">
        <v>1</v>
      </c>
      <c r="BD46" t="b">
        <v>1</v>
      </c>
      <c r="BE46" t="b">
        <v>0</v>
      </c>
      <c r="BF46" t="b">
        <v>0</v>
      </c>
      <c r="BG46" t="b">
        <v>0</v>
      </c>
      <c r="BH46" t="b">
        <v>0</v>
      </c>
      <c r="BK46" t="s">
        <v>2343</v>
      </c>
      <c r="BL46" t="b">
        <v>0</v>
      </c>
      <c r="BN46" t="s">
        <v>66</v>
      </c>
      <c r="BO46" t="s">
        <v>2345</v>
      </c>
      <c r="BP46" s="76" t="str">
        <f>HYPERLINK("https://twitter.com/acoybk")</f>
        <v>https://twitter.com/acoybk</v>
      </c>
      <c r="BQ46" s="44"/>
      <c r="BR46" s="44"/>
      <c r="BS46" s="44"/>
      <c r="BT46" s="44"/>
      <c r="BU46" s="44"/>
      <c r="BV46" s="44"/>
      <c r="BW46" s="44"/>
      <c r="BX46" s="44"/>
      <c r="BY46" s="44"/>
      <c r="BZ46" s="44"/>
      <c r="CA46" s="44"/>
      <c r="CB46" s="45"/>
      <c r="CC46" s="44"/>
      <c r="CD46" s="45"/>
      <c r="CE46" s="44"/>
      <c r="CF46" s="45"/>
      <c r="CG46" s="44"/>
      <c r="CH46" s="45"/>
      <c r="CI46" s="44"/>
      <c r="CJ46" s="112" t="str">
        <f>REPLACE(INDEX(GroupVertices[Group],MATCH("~"&amp;Vertices[[#This Row],[Vertex]],GroupVertices[Vertex],0)),1,1,"")</f>
        <v>5</v>
      </c>
      <c r="CK46" s="44"/>
      <c r="CL46" s="44"/>
      <c r="CM46" s="44"/>
      <c r="CN46" s="44"/>
      <c r="CO46" s="2"/>
    </row>
    <row r="47" spans="1:93" ht="41.45" customHeight="1">
      <c r="A47" s="59" t="s">
        <v>409</v>
      </c>
      <c r="C47" s="60"/>
      <c r="D47" s="60" t="s">
        <v>64</v>
      </c>
      <c r="E47" s="61">
        <v>1.5</v>
      </c>
      <c r="F47" s="63"/>
      <c r="G47" s="92" t="str">
        <f>HYPERLINK("https://pbs.twimg.com/profile_images/1540711226610552833/Ny0ztULX_normal.jpg")</f>
        <v>https://pbs.twimg.com/profile_images/1540711226610552833/Ny0ztULX_normal.jpg</v>
      </c>
      <c r="H47" s="60"/>
      <c r="I47" s="64" t="str">
        <f>Vertices[[#This Row],[Vertex]]</f>
        <v>fadlizon</v>
      </c>
      <c r="J47" s="65"/>
      <c r="K47" s="65"/>
      <c r="L47" s="64"/>
      <c r="M47" s="68"/>
      <c r="N47" s="69">
        <v>2810.2109375</v>
      </c>
      <c r="O47" s="69">
        <v>6952.04833984375</v>
      </c>
      <c r="P47" s="70"/>
      <c r="Q47" s="71"/>
      <c r="R47" s="71"/>
      <c r="S47" s="78"/>
      <c r="T47" s="44">
        <v>1</v>
      </c>
      <c r="U47" s="44">
        <v>0</v>
      </c>
      <c r="V47" s="45">
        <v>0</v>
      </c>
      <c r="W47" s="45">
        <v>0.133234</v>
      </c>
      <c r="X47" s="45">
        <v>0.006962</v>
      </c>
      <c r="Y47" s="45">
        <v>0.003359</v>
      </c>
      <c r="Z47" s="45">
        <v>0</v>
      </c>
      <c r="AA47" s="45">
        <v>0</v>
      </c>
      <c r="AB47" s="66">
        <v>47</v>
      </c>
      <c r="AC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7" s="67"/>
      <c r="AE47" t="s">
        <v>1671</v>
      </c>
      <c r="AF47" s="74" t="s">
        <v>1849</v>
      </c>
      <c r="AG47">
        <v>1831655</v>
      </c>
      <c r="AH47">
        <v>1838</v>
      </c>
      <c r="AI47">
        <v>80573</v>
      </c>
      <c r="AJ47">
        <v>603</v>
      </c>
      <c r="AK47">
        <v>34944</v>
      </c>
      <c r="AL47">
        <v>13441</v>
      </c>
      <c r="AM47" t="b">
        <v>0</v>
      </c>
      <c r="AN47" s="73">
        <v>40088.39565972222</v>
      </c>
      <c r="AO47" t="s">
        <v>996</v>
      </c>
      <c r="AP47" t="s">
        <v>2142</v>
      </c>
      <c r="AQ47" s="76" t="str">
        <f>HYPERLINK("https://t.co/g4nOxpbnpu")</f>
        <v>https://t.co/g4nOxpbnpu</v>
      </c>
      <c r="AR47" s="76" t="str">
        <f>HYPERLINK("https://m.youtube.com/c/fadlizonofficial")</f>
        <v>https://m.youtube.com/c/fadlizonofficial</v>
      </c>
      <c r="AS47" t="s">
        <v>2297</v>
      </c>
      <c r="AW47">
        <v>1.32218166330923E+18</v>
      </c>
      <c r="AX47" s="76" t="str">
        <f>HYPERLINK("https://t.co/g4nOxpbnpu")</f>
        <v>https://t.co/g4nOxpbnpu</v>
      </c>
      <c r="AY47" t="b">
        <v>1</v>
      </c>
      <c r="BA47" t="b">
        <v>1</v>
      </c>
      <c r="BB47" t="b">
        <v>0</v>
      </c>
      <c r="BC47" t="b">
        <v>0</v>
      </c>
      <c r="BD47" t="b">
        <v>0</v>
      </c>
      <c r="BE47" t="b">
        <v>0</v>
      </c>
      <c r="BF47" t="b">
        <v>1</v>
      </c>
      <c r="BG47" t="b">
        <v>0</v>
      </c>
      <c r="BH47" t="b">
        <v>0</v>
      </c>
      <c r="BI47" s="76" t="str">
        <f>HYPERLINK("https://pbs.twimg.com/profile_banners/79139422/1573652320")</f>
        <v>https://pbs.twimg.com/profile_banners/79139422/1573652320</v>
      </c>
      <c r="BK47" t="s">
        <v>2343</v>
      </c>
      <c r="BL47" t="b">
        <v>1</v>
      </c>
      <c r="BN47" t="s">
        <v>65</v>
      </c>
      <c r="BO47" t="s">
        <v>2345</v>
      </c>
      <c r="BP47" s="76" t="str">
        <f>HYPERLINK("https://twitter.com/fadlizon")</f>
        <v>https://twitter.com/fadlizon</v>
      </c>
      <c r="BQ47" s="44"/>
      <c r="BR47" s="44"/>
      <c r="BS47" s="44"/>
      <c r="BT47" s="44"/>
      <c r="BU47" s="44"/>
      <c r="BV47" s="44"/>
      <c r="BW47" s="44"/>
      <c r="BX47" s="44"/>
      <c r="BY47" s="44"/>
      <c r="BZ47" s="44"/>
      <c r="CA47" s="44"/>
      <c r="CB47" s="45"/>
      <c r="CC47" s="44"/>
      <c r="CD47" s="45"/>
      <c r="CE47" s="44"/>
      <c r="CF47" s="45"/>
      <c r="CG47" s="44"/>
      <c r="CH47" s="45"/>
      <c r="CI47" s="44"/>
      <c r="CJ47" s="112" t="str">
        <f>REPLACE(INDEX(GroupVertices[Group],MATCH("~"&amp;Vertices[[#This Row],[Vertex]],GroupVertices[Vertex],0)),1,1,"")</f>
        <v>2</v>
      </c>
      <c r="CK47" s="44"/>
      <c r="CL47" s="44"/>
      <c r="CM47" s="44"/>
      <c r="CN47" s="44"/>
      <c r="CO47" s="2"/>
    </row>
    <row r="48" spans="1:93" ht="41.45" customHeight="1">
      <c r="A48" s="59" t="s">
        <v>408</v>
      </c>
      <c r="C48" s="60"/>
      <c r="D48" s="60" t="s">
        <v>64</v>
      </c>
      <c r="E48" s="61">
        <v>1.5</v>
      </c>
      <c r="F48" s="63"/>
      <c r="G48" s="92" t="str">
        <f>HYPERLINK("https://pbs.twimg.com/profile_images/1721461478149214208/6W0rpxhH_normal.jpg")</f>
        <v>https://pbs.twimg.com/profile_images/1721461478149214208/6W0rpxhH_normal.jpg</v>
      </c>
      <c r="H48" s="60"/>
      <c r="I48" s="64" t="str">
        <f>Vertices[[#This Row],[Vertex]]</f>
        <v>gerindra</v>
      </c>
      <c r="J48" s="65"/>
      <c r="K48" s="65"/>
      <c r="L48" s="64"/>
      <c r="M48" s="68"/>
      <c r="N48" s="69">
        <v>1741.327880859375</v>
      </c>
      <c r="O48" s="69">
        <v>8689.4658203125</v>
      </c>
      <c r="P48" s="70"/>
      <c r="Q48" s="71"/>
      <c r="R48" s="71"/>
      <c r="S48" s="78"/>
      <c r="T48" s="44">
        <v>1</v>
      </c>
      <c r="U48" s="44">
        <v>0</v>
      </c>
      <c r="V48" s="45">
        <v>0</v>
      </c>
      <c r="W48" s="45">
        <v>0.133234</v>
      </c>
      <c r="X48" s="45">
        <v>0.006962</v>
      </c>
      <c r="Y48" s="45">
        <v>0.003359</v>
      </c>
      <c r="Z48" s="45">
        <v>0</v>
      </c>
      <c r="AA48" s="45">
        <v>0</v>
      </c>
      <c r="AB48" s="66">
        <v>48</v>
      </c>
      <c r="AC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8" s="67"/>
      <c r="AE48" t="s">
        <v>1670</v>
      </c>
      <c r="AF48" s="74" t="s">
        <v>1848</v>
      </c>
      <c r="AG48">
        <v>728675</v>
      </c>
      <c r="AH48">
        <v>4008</v>
      </c>
      <c r="AI48">
        <v>137232</v>
      </c>
      <c r="AJ48">
        <v>510</v>
      </c>
      <c r="AK48">
        <v>4346</v>
      </c>
      <c r="AL48">
        <v>13103</v>
      </c>
      <c r="AM48" t="b">
        <v>0</v>
      </c>
      <c r="AN48" s="73">
        <v>40841.03605324074</v>
      </c>
      <c r="AO48" t="s">
        <v>1974</v>
      </c>
      <c r="AP48" t="s">
        <v>2141</v>
      </c>
      <c r="AQ48" s="76" t="str">
        <f>HYPERLINK("https://t.co/LnX594nk21")</f>
        <v>https://t.co/LnX594nk21</v>
      </c>
      <c r="AR48" s="76" t="str">
        <f>HYPERLINK("http://Gerindra.id")</f>
        <v>http://Gerindra.id</v>
      </c>
      <c r="AS48" t="s">
        <v>2296</v>
      </c>
      <c r="AW48">
        <v>1.71641053395879E+18</v>
      </c>
      <c r="AX48" s="76" t="str">
        <f>HYPERLINK("https://t.co/LnX594nk21")</f>
        <v>https://t.co/LnX594nk21</v>
      </c>
      <c r="AY48" t="b">
        <v>1</v>
      </c>
      <c r="BB48" t="b">
        <v>1</v>
      </c>
      <c r="BC48" t="b">
        <v>1</v>
      </c>
      <c r="BD48" t="b">
        <v>0</v>
      </c>
      <c r="BE48" t="b">
        <v>0</v>
      </c>
      <c r="BF48" t="b">
        <v>1</v>
      </c>
      <c r="BG48" t="b">
        <v>0</v>
      </c>
      <c r="BH48" t="b">
        <v>0</v>
      </c>
      <c r="BI48" s="76" t="str">
        <f>HYPERLINK("https://pbs.twimg.com/profile_banners/397673651/1698659124")</f>
        <v>https://pbs.twimg.com/profile_banners/397673651/1698659124</v>
      </c>
      <c r="BK48" t="s">
        <v>2343</v>
      </c>
      <c r="BL48" t="b">
        <v>0</v>
      </c>
      <c r="BN48" t="s">
        <v>65</v>
      </c>
      <c r="BO48" t="s">
        <v>2345</v>
      </c>
      <c r="BP48" s="76" t="str">
        <f>HYPERLINK("https://twitter.com/gerindra")</f>
        <v>https://twitter.com/gerindra</v>
      </c>
      <c r="BQ48" s="44"/>
      <c r="BR48" s="44"/>
      <c r="BS48" s="44"/>
      <c r="BT48" s="44"/>
      <c r="BU48" s="44"/>
      <c r="BV48" s="44"/>
      <c r="BW48" s="44"/>
      <c r="BX48" s="44"/>
      <c r="BY48" s="44"/>
      <c r="BZ48" s="44"/>
      <c r="CA48" s="44"/>
      <c r="CB48" s="45"/>
      <c r="CC48" s="44"/>
      <c r="CD48" s="45"/>
      <c r="CE48" s="44"/>
      <c r="CF48" s="45"/>
      <c r="CG48" s="44"/>
      <c r="CH48" s="45"/>
      <c r="CI48" s="44"/>
      <c r="CJ48" s="112" t="str">
        <f>REPLACE(INDEX(GroupVertices[Group],MATCH("~"&amp;Vertices[[#This Row],[Vertex]],GroupVertices[Vertex],0)),1,1,"")</f>
        <v>2</v>
      </c>
      <c r="CK48" s="44"/>
      <c r="CL48" s="44"/>
      <c r="CM48" s="44"/>
      <c r="CN48" s="44"/>
      <c r="CO48" s="2"/>
    </row>
    <row r="49" spans="1:93" ht="41.45" customHeight="1">
      <c r="A49" s="59" t="s">
        <v>418</v>
      </c>
      <c r="C49" s="60"/>
      <c r="D49" s="60" t="s">
        <v>64</v>
      </c>
      <c r="E49" s="61">
        <v>1.5</v>
      </c>
      <c r="F49" s="63"/>
      <c r="G49" s="92" t="str">
        <f>HYPERLINK("https://pbs.twimg.com/profile_images/1440187260381511680/VHDs5S7L_normal.jpg")</f>
        <v>https://pbs.twimg.com/profile_images/1440187260381511680/VHDs5S7L_normal.jpg</v>
      </c>
      <c r="H49" s="60"/>
      <c r="I49" s="64" t="str">
        <f>Vertices[[#This Row],[Vertex]]</f>
        <v>erickthohir</v>
      </c>
      <c r="J49" s="65"/>
      <c r="K49" s="65"/>
      <c r="L49" s="64"/>
      <c r="M49" s="68"/>
      <c r="N49" s="69">
        <v>1955.148193359375</v>
      </c>
      <c r="O49" s="69">
        <v>9157.890625</v>
      </c>
      <c r="P49" s="70"/>
      <c r="Q49" s="71"/>
      <c r="R49" s="71"/>
      <c r="S49" s="78"/>
      <c r="T49" s="44">
        <v>1</v>
      </c>
      <c r="U49" s="44">
        <v>0</v>
      </c>
      <c r="V49" s="45">
        <v>0</v>
      </c>
      <c r="W49" s="45">
        <v>0.133234</v>
      </c>
      <c r="X49" s="45">
        <v>0.006962</v>
      </c>
      <c r="Y49" s="45">
        <v>0.003359</v>
      </c>
      <c r="Z49" s="45">
        <v>0</v>
      </c>
      <c r="AA49" s="45">
        <v>0</v>
      </c>
      <c r="AB49" s="66">
        <v>49</v>
      </c>
      <c r="AC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9" s="67"/>
      <c r="AE49" t="s">
        <v>1680</v>
      </c>
      <c r="AF49" s="74" t="s">
        <v>1853</v>
      </c>
      <c r="AG49">
        <v>666785</v>
      </c>
      <c r="AH49">
        <v>75</v>
      </c>
      <c r="AI49">
        <v>4995</v>
      </c>
      <c r="AJ49">
        <v>308</v>
      </c>
      <c r="AK49">
        <v>97</v>
      </c>
      <c r="AL49">
        <v>1933</v>
      </c>
      <c r="AM49" t="b">
        <v>0</v>
      </c>
      <c r="AN49" s="73">
        <v>39961.461689814816</v>
      </c>
      <c r="AO49" t="s">
        <v>996</v>
      </c>
      <c r="AP49" t="s">
        <v>2151</v>
      </c>
      <c r="AQ49" s="76" t="str">
        <f>HYPERLINK("https://t.co/LZ9uEBpMuA")</f>
        <v>https://t.co/LZ9uEBpMuA</v>
      </c>
      <c r="AR49" s="76" t="str">
        <f>HYPERLINK("http://linktr.ee/erickthohir")</f>
        <v>http://linktr.ee/erickthohir</v>
      </c>
      <c r="AS49" t="s">
        <v>2302</v>
      </c>
      <c r="AX49" s="76" t="str">
        <f>HYPERLINK("https://t.co/LZ9uEBpMuA")</f>
        <v>https://t.co/LZ9uEBpMuA</v>
      </c>
      <c r="AY49" t="b">
        <v>1</v>
      </c>
      <c r="BB49" t="b">
        <v>0</v>
      </c>
      <c r="BC49" t="b">
        <v>1</v>
      </c>
      <c r="BD49" t="b">
        <v>1</v>
      </c>
      <c r="BE49" t="b">
        <v>0</v>
      </c>
      <c r="BF49" t="b">
        <v>1</v>
      </c>
      <c r="BG49" t="b">
        <v>0</v>
      </c>
      <c r="BH49" t="b">
        <v>0</v>
      </c>
      <c r="BI49" s="76" t="str">
        <f>HYPERLINK("https://pbs.twimg.com/profile_banners/43088704/1653958787")</f>
        <v>https://pbs.twimg.com/profile_banners/43088704/1653958787</v>
      </c>
      <c r="BK49" t="s">
        <v>2343</v>
      </c>
      <c r="BL49" t="b">
        <v>0</v>
      </c>
      <c r="BN49" t="s">
        <v>65</v>
      </c>
      <c r="BO49" t="s">
        <v>2345</v>
      </c>
      <c r="BP49" s="76" t="str">
        <f>HYPERLINK("https://twitter.com/erickthohir")</f>
        <v>https://twitter.com/erickthohir</v>
      </c>
      <c r="BQ49" s="44"/>
      <c r="BR49" s="44"/>
      <c r="BS49" s="44"/>
      <c r="BT49" s="44"/>
      <c r="BU49" s="44"/>
      <c r="BV49" s="44"/>
      <c r="BW49" s="44"/>
      <c r="BX49" s="44"/>
      <c r="BY49" s="44"/>
      <c r="BZ49" s="44"/>
      <c r="CA49" s="44"/>
      <c r="CB49" s="45"/>
      <c r="CC49" s="44"/>
      <c r="CD49" s="45"/>
      <c r="CE49" s="44"/>
      <c r="CF49" s="45"/>
      <c r="CG49" s="44"/>
      <c r="CH49" s="45"/>
      <c r="CI49" s="44"/>
      <c r="CJ49" s="112" t="str">
        <f>REPLACE(INDEX(GroupVertices[Group],MATCH("~"&amp;Vertices[[#This Row],[Vertex]],GroupVertices[Vertex],0)),1,1,"")</f>
        <v>2</v>
      </c>
      <c r="CK49" s="44"/>
      <c r="CL49" s="44"/>
      <c r="CM49" s="44"/>
      <c r="CN49" s="44"/>
      <c r="CO49" s="2"/>
    </row>
    <row r="50" spans="1:93" ht="41.45" customHeight="1">
      <c r="A50" s="59" t="s">
        <v>416</v>
      </c>
      <c r="C50" s="60"/>
      <c r="D50" s="60" t="s">
        <v>64</v>
      </c>
      <c r="E50" s="61">
        <v>1.5</v>
      </c>
      <c r="F50" s="63"/>
      <c r="G50" s="92" t="str">
        <f>HYPERLINK("https://pbs.twimg.com/profile_images/1641909545244196864/IRYjQcUf_normal.jpg")</f>
        <v>https://pbs.twimg.com/profile_images/1641909545244196864/IRYjQcUf_normal.jpg</v>
      </c>
      <c r="H50" s="60"/>
      <c r="I50" s="64" t="str">
        <f>Vertices[[#This Row],[Vertex]]</f>
        <v>jansen_jsp</v>
      </c>
      <c r="J50" s="65"/>
      <c r="K50" s="65"/>
      <c r="L50" s="64"/>
      <c r="M50" s="68"/>
      <c r="N50" s="69">
        <v>2804.4912109375</v>
      </c>
      <c r="O50" s="69">
        <v>7814.6201171875</v>
      </c>
      <c r="P50" s="70"/>
      <c r="Q50" s="71"/>
      <c r="R50" s="71"/>
      <c r="S50" s="78"/>
      <c r="T50" s="44">
        <v>1</v>
      </c>
      <c r="U50" s="44">
        <v>0</v>
      </c>
      <c r="V50" s="45">
        <v>0</v>
      </c>
      <c r="W50" s="45">
        <v>0.133234</v>
      </c>
      <c r="X50" s="45">
        <v>0.006962</v>
      </c>
      <c r="Y50" s="45">
        <v>0.003359</v>
      </c>
      <c r="Z50" s="45">
        <v>0</v>
      </c>
      <c r="AA50" s="45">
        <v>0</v>
      </c>
      <c r="AB50" s="66">
        <v>50</v>
      </c>
      <c r="AC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0" s="67"/>
      <c r="AE50" t="s">
        <v>1678</v>
      </c>
      <c r="AF50" s="74" t="s">
        <v>1366</v>
      </c>
      <c r="AG50">
        <v>283058</v>
      </c>
      <c r="AH50">
        <v>4767</v>
      </c>
      <c r="AI50">
        <v>11299</v>
      </c>
      <c r="AJ50">
        <v>64</v>
      </c>
      <c r="AK50">
        <v>4435</v>
      </c>
      <c r="AL50">
        <v>1815</v>
      </c>
      <c r="AM50" t="b">
        <v>0</v>
      </c>
      <c r="AN50" s="73">
        <v>42850.75912037037</v>
      </c>
      <c r="AO50" t="s">
        <v>1977</v>
      </c>
      <c r="AP50" t="s">
        <v>2149</v>
      </c>
      <c r="AQ50" s="76" t="str">
        <f>HYPERLINK("https://t.co/bG0crF7fax")</f>
        <v>https://t.co/bG0crF7fax</v>
      </c>
      <c r="AR50" s="76" t="str">
        <f>HYPERLINK("http://www.instagram.com/jansensitindaon/")</f>
        <v>http://www.instagram.com/jansensitindaon/</v>
      </c>
      <c r="AS50" t="s">
        <v>2301</v>
      </c>
      <c r="AX50" s="76" t="str">
        <f>HYPERLINK("https://t.co/bG0crF7fax")</f>
        <v>https://t.co/bG0crF7fax</v>
      </c>
      <c r="AY50" t="b">
        <v>1</v>
      </c>
      <c r="BB50" t="b">
        <v>1</v>
      </c>
      <c r="BC50" t="b">
        <v>1</v>
      </c>
      <c r="BD50" t="b">
        <v>1</v>
      </c>
      <c r="BE50" t="b">
        <v>0</v>
      </c>
      <c r="BF50" t="b">
        <v>1</v>
      </c>
      <c r="BG50" t="b">
        <v>0</v>
      </c>
      <c r="BH50" t="b">
        <v>0</v>
      </c>
      <c r="BI50" s="76" t="str">
        <f>HYPERLINK("https://pbs.twimg.com/profile_banners/856934112250126336/1670170686")</f>
        <v>https://pbs.twimg.com/profile_banners/856934112250126336/1670170686</v>
      </c>
      <c r="BK50" t="s">
        <v>2343</v>
      </c>
      <c r="BL50" t="b">
        <v>0</v>
      </c>
      <c r="BN50" t="s">
        <v>65</v>
      </c>
      <c r="BO50" t="s">
        <v>2345</v>
      </c>
      <c r="BP50" s="76" t="str">
        <f>HYPERLINK("https://twitter.com/jansen_jsp")</f>
        <v>https://twitter.com/jansen_jsp</v>
      </c>
      <c r="BQ50" s="44"/>
      <c r="BR50" s="44"/>
      <c r="BS50" s="44"/>
      <c r="BT50" s="44"/>
      <c r="BU50" s="44"/>
      <c r="BV50" s="44"/>
      <c r="BW50" s="44"/>
      <c r="BX50" s="44"/>
      <c r="BY50" s="44"/>
      <c r="BZ50" s="44"/>
      <c r="CA50" s="44"/>
      <c r="CB50" s="45"/>
      <c r="CC50" s="44"/>
      <c r="CD50" s="45"/>
      <c r="CE50" s="44"/>
      <c r="CF50" s="45"/>
      <c r="CG50" s="44"/>
      <c r="CH50" s="45"/>
      <c r="CI50" s="44"/>
      <c r="CJ50" s="112" t="str">
        <f>REPLACE(INDEX(GroupVertices[Group],MATCH("~"&amp;Vertices[[#This Row],[Vertex]],GroupVertices[Vertex],0)),1,1,"")</f>
        <v>2</v>
      </c>
      <c r="CK50" s="44"/>
      <c r="CL50" s="44"/>
      <c r="CM50" s="44"/>
      <c r="CN50" s="44"/>
      <c r="CO50" s="2"/>
    </row>
    <row r="51" spans="1:93" ht="41.45" customHeight="1">
      <c r="A51" s="59" t="s">
        <v>420</v>
      </c>
      <c r="C51" s="125"/>
      <c r="D51" s="60" t="s">
        <v>64</v>
      </c>
      <c r="E51" s="129">
        <v>1.5</v>
      </c>
      <c r="F51" s="124"/>
      <c r="G51" s="92" t="str">
        <f>HYPERLINK("https://pbs.twimg.com/profile_images/1366213836131377157/OAP04Pau_normal.jpg")</f>
        <v>https://pbs.twimg.com/profile_images/1366213836131377157/OAP04Pau_normal.jpg</v>
      </c>
      <c r="H51" s="125"/>
      <c r="I51" s="64" t="str">
        <f>Vertices[[#This Row],[Vertex]]</f>
        <v>zul_hasan</v>
      </c>
      <c r="J51" s="126"/>
      <c r="K51" s="126"/>
      <c r="L51" s="130"/>
      <c r="M51" s="127"/>
      <c r="N51" s="131">
        <v>2208.606201171875</v>
      </c>
      <c r="O51" s="131">
        <v>9323.3916015625</v>
      </c>
      <c r="P51" s="132"/>
      <c r="Q51" s="133"/>
      <c r="R51" s="133"/>
      <c r="S51" s="134"/>
      <c r="T51" s="44">
        <v>1</v>
      </c>
      <c r="U51" s="44">
        <v>0</v>
      </c>
      <c r="V51" s="45">
        <v>0</v>
      </c>
      <c r="W51" s="45">
        <v>0.133234</v>
      </c>
      <c r="X51" s="45">
        <v>0.006962</v>
      </c>
      <c r="Y51" s="45">
        <v>0.003359</v>
      </c>
      <c r="Z51" s="45">
        <v>0</v>
      </c>
      <c r="AA51" s="45">
        <v>0</v>
      </c>
      <c r="AB51" s="135">
        <v>51</v>
      </c>
      <c r="AC5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1" s="67"/>
      <c r="AE51" t="s">
        <v>1682</v>
      </c>
      <c r="AF51" s="74" t="s">
        <v>1855</v>
      </c>
      <c r="AG51">
        <v>265793</v>
      </c>
      <c r="AH51">
        <v>111</v>
      </c>
      <c r="AI51">
        <v>19578</v>
      </c>
      <c r="AJ51">
        <v>177</v>
      </c>
      <c r="AK51">
        <v>4432</v>
      </c>
      <c r="AL51">
        <v>3489</v>
      </c>
      <c r="AM51" t="b">
        <v>0</v>
      </c>
      <c r="AN51" s="73">
        <v>40427.56112268518</v>
      </c>
      <c r="AO51" t="s">
        <v>996</v>
      </c>
      <c r="AP51" t="s">
        <v>2153</v>
      </c>
      <c r="AY51" t="b">
        <v>0</v>
      </c>
      <c r="BB51" t="b">
        <v>0</v>
      </c>
      <c r="BC51" t="b">
        <v>1</v>
      </c>
      <c r="BD51" t="b">
        <v>0</v>
      </c>
      <c r="BE51" t="b">
        <v>0</v>
      </c>
      <c r="BF51" t="b">
        <v>0</v>
      </c>
      <c r="BG51" t="b">
        <v>0</v>
      </c>
      <c r="BH51" t="b">
        <v>0</v>
      </c>
      <c r="BI51" s="76" t="str">
        <f>HYPERLINK("https://pbs.twimg.com/profile_banners/187520592/1614831002")</f>
        <v>https://pbs.twimg.com/profile_banners/187520592/1614831002</v>
      </c>
      <c r="BK51" t="s">
        <v>2343</v>
      </c>
      <c r="BL51" t="b">
        <v>0</v>
      </c>
      <c r="BN51" t="s">
        <v>65</v>
      </c>
      <c r="BO51" t="s">
        <v>2345</v>
      </c>
      <c r="BP51" s="76" t="str">
        <f>HYPERLINK("https://twitter.com/zul_hasan")</f>
        <v>https://twitter.com/zul_hasan</v>
      </c>
      <c r="BQ51" s="44"/>
      <c r="BR51" s="44"/>
      <c r="BS51" s="44"/>
      <c r="BT51" s="44"/>
      <c r="BU51" s="44"/>
      <c r="BV51" s="44"/>
      <c r="BW51" s="44"/>
      <c r="BX51" s="44"/>
      <c r="BY51" s="44"/>
      <c r="BZ51" s="44"/>
      <c r="CA51" s="44"/>
      <c r="CB51" s="45"/>
      <c r="CC51" s="44"/>
      <c r="CD51" s="45"/>
      <c r="CE51" s="44"/>
      <c r="CF51" s="45"/>
      <c r="CG51" s="44"/>
      <c r="CH51" s="45"/>
      <c r="CI51" s="44"/>
      <c r="CJ51" s="112" t="str">
        <f>REPLACE(INDEX(GroupVertices[Group],MATCH("~"&amp;Vertices[[#This Row],[Vertex]],GroupVertices[Vertex],0)),1,1,"")</f>
        <v>2</v>
      </c>
      <c r="CK51" s="44"/>
      <c r="CL51" s="44"/>
      <c r="CM51" s="44"/>
      <c r="CN51" s="44"/>
      <c r="CO51" s="2"/>
    </row>
    <row r="52" spans="1:93" ht="41.45" customHeight="1">
      <c r="A52" s="59" t="s">
        <v>424</v>
      </c>
      <c r="C52" s="60"/>
      <c r="D52" s="60" t="s">
        <v>64</v>
      </c>
      <c r="E52" s="61">
        <v>1.5</v>
      </c>
      <c r="F52" s="63"/>
      <c r="G52" s="92" t="str">
        <f>HYPERLINK("https://pbs.twimg.com/profile_images/1647264789801091072/w5zpnnPN_normal.jpg")</f>
        <v>https://pbs.twimg.com/profile_images/1647264789801091072/w5zpnnPN_normal.jpg</v>
      </c>
      <c r="H52" s="60"/>
      <c r="I52" s="64" t="str">
        <f>Vertices[[#This Row],[Vertex]]</f>
        <v>bemui_official</v>
      </c>
      <c r="J52" s="65"/>
      <c r="K52" s="65"/>
      <c r="L52" s="64"/>
      <c r="M52" s="68"/>
      <c r="N52" s="69">
        <v>2337.239501953125</v>
      </c>
      <c r="O52" s="69">
        <v>7617.0048828125</v>
      </c>
      <c r="P52" s="70"/>
      <c r="Q52" s="71"/>
      <c r="R52" s="71"/>
      <c r="S52" s="78"/>
      <c r="T52" s="44">
        <v>1</v>
      </c>
      <c r="U52" s="44">
        <v>0</v>
      </c>
      <c r="V52" s="45">
        <v>0</v>
      </c>
      <c r="W52" s="45">
        <v>0.133234</v>
      </c>
      <c r="X52" s="45">
        <v>0.006962</v>
      </c>
      <c r="Y52" s="45">
        <v>0.003359</v>
      </c>
      <c r="Z52" s="45">
        <v>0</v>
      </c>
      <c r="AA52" s="45">
        <v>0</v>
      </c>
      <c r="AB52" s="66">
        <v>52</v>
      </c>
      <c r="AC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2" s="67"/>
      <c r="AE52" t="s">
        <v>1686</v>
      </c>
      <c r="AF52" s="74" t="s">
        <v>1372</v>
      </c>
      <c r="AG52">
        <v>117524</v>
      </c>
      <c r="AH52">
        <v>144</v>
      </c>
      <c r="AI52">
        <v>33020</v>
      </c>
      <c r="AJ52">
        <v>147</v>
      </c>
      <c r="AK52">
        <v>89</v>
      </c>
      <c r="AL52">
        <v>4229</v>
      </c>
      <c r="AM52" t="b">
        <v>0</v>
      </c>
      <c r="AN52" s="73">
        <v>40576.48238425926</v>
      </c>
      <c r="AO52" t="s">
        <v>996</v>
      </c>
      <c r="AP52" t="s">
        <v>2157</v>
      </c>
      <c r="AQ52" s="76" t="str">
        <f>HYPERLINK("https://t.co/c7gYEk7mHq")</f>
        <v>https://t.co/c7gYEk7mHq</v>
      </c>
      <c r="AR52" s="76" t="str">
        <f>HYPERLINK("http://bem.ui.ac.id")</f>
        <v>http://bem.ui.ac.id</v>
      </c>
      <c r="AS52" t="s">
        <v>2306</v>
      </c>
      <c r="AW52">
        <v>1.47430575067558E+18</v>
      </c>
      <c r="AX52" s="76" t="str">
        <f>HYPERLINK("https://t.co/c7gYEk7mHq")</f>
        <v>https://t.co/c7gYEk7mHq</v>
      </c>
      <c r="AY52" t="b">
        <v>0</v>
      </c>
      <c r="BB52" t="b">
        <v>1</v>
      </c>
      <c r="BC52" t="b">
        <v>1</v>
      </c>
      <c r="BD52" t="b">
        <v>0</v>
      </c>
      <c r="BE52" t="b">
        <v>0</v>
      </c>
      <c r="BF52" t="b">
        <v>1</v>
      </c>
      <c r="BG52" t="b">
        <v>0</v>
      </c>
      <c r="BH52" t="b">
        <v>0</v>
      </c>
      <c r="BI52" s="76" t="str">
        <f>HYPERLINK("https://pbs.twimg.com/profile_banners/246221699/1681573504")</f>
        <v>https://pbs.twimg.com/profile_banners/246221699/1681573504</v>
      </c>
      <c r="BK52" t="s">
        <v>2343</v>
      </c>
      <c r="BL52" t="b">
        <v>0</v>
      </c>
      <c r="BN52" t="s">
        <v>65</v>
      </c>
      <c r="BO52" t="s">
        <v>2345</v>
      </c>
      <c r="BP52" s="76" t="str">
        <f>HYPERLINK("https://twitter.com/bemui_official")</f>
        <v>https://twitter.com/bemui_official</v>
      </c>
      <c r="BQ52" s="44"/>
      <c r="BR52" s="44"/>
      <c r="BS52" s="44"/>
      <c r="BT52" s="44"/>
      <c r="BU52" s="44"/>
      <c r="BV52" s="44"/>
      <c r="BW52" s="44"/>
      <c r="BX52" s="44"/>
      <c r="BY52" s="44"/>
      <c r="BZ52" s="44"/>
      <c r="CA52" s="44"/>
      <c r="CB52" s="45"/>
      <c r="CC52" s="44"/>
      <c r="CD52" s="45"/>
      <c r="CE52" s="44"/>
      <c r="CF52" s="45"/>
      <c r="CG52" s="44"/>
      <c r="CH52" s="45"/>
      <c r="CI52" s="44"/>
      <c r="CJ52" s="112" t="str">
        <f>REPLACE(INDEX(GroupVertices[Group],MATCH("~"&amp;Vertices[[#This Row],[Vertex]],GroupVertices[Vertex],0)),1,1,"")</f>
        <v>2</v>
      </c>
      <c r="CK52" s="44"/>
      <c r="CL52" s="44"/>
      <c r="CM52" s="44"/>
      <c r="CN52" s="44"/>
      <c r="CO52" s="2"/>
    </row>
    <row r="53" spans="1:93" ht="41.45" customHeight="1">
      <c r="A53" s="59" t="s">
        <v>419</v>
      </c>
      <c r="C53" s="60"/>
      <c r="D53" s="60" t="s">
        <v>64</v>
      </c>
      <c r="E53" s="61">
        <v>1.5</v>
      </c>
      <c r="F53" s="63"/>
      <c r="G53" s="92" t="str">
        <f>HYPERLINK("https://pbs.twimg.com/profile_images/1721402144815984640/c1K3o5nb_normal.jpg")</f>
        <v>https://pbs.twimg.com/profile_images/1721402144815984640/c1K3o5nb_normal.jpg</v>
      </c>
      <c r="H53" s="60"/>
      <c r="I53" s="64" t="str">
        <f>Vertices[[#This Row],[Vertex]]</f>
        <v>official_pan</v>
      </c>
      <c r="J53" s="65"/>
      <c r="K53" s="65"/>
      <c r="L53" s="64"/>
      <c r="M53" s="68"/>
      <c r="N53" s="69">
        <v>2086.27001953125</v>
      </c>
      <c r="O53" s="69">
        <v>7396.26611328125</v>
      </c>
      <c r="P53" s="70"/>
      <c r="Q53" s="71"/>
      <c r="R53" s="71"/>
      <c r="S53" s="78"/>
      <c r="T53" s="44">
        <v>1</v>
      </c>
      <c r="U53" s="44">
        <v>0</v>
      </c>
      <c r="V53" s="45">
        <v>0</v>
      </c>
      <c r="W53" s="45">
        <v>0.133234</v>
      </c>
      <c r="X53" s="45">
        <v>0.006962</v>
      </c>
      <c r="Y53" s="45">
        <v>0.003359</v>
      </c>
      <c r="Z53" s="45">
        <v>0</v>
      </c>
      <c r="AA53" s="45">
        <v>0</v>
      </c>
      <c r="AB53" s="66">
        <v>53</v>
      </c>
      <c r="AC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3" s="67"/>
      <c r="AE53" t="s">
        <v>1681</v>
      </c>
      <c r="AF53" s="74" t="s">
        <v>1854</v>
      </c>
      <c r="AG53">
        <v>79576</v>
      </c>
      <c r="AH53">
        <v>312</v>
      </c>
      <c r="AI53">
        <v>23133</v>
      </c>
      <c r="AJ53">
        <v>77</v>
      </c>
      <c r="AK53">
        <v>11601</v>
      </c>
      <c r="AL53">
        <v>5814</v>
      </c>
      <c r="AM53" t="b">
        <v>0</v>
      </c>
      <c r="AN53" s="73">
        <v>41340.19832175926</v>
      </c>
      <c r="AP53" t="s">
        <v>2152</v>
      </c>
      <c r="AQ53" s="76" t="str">
        <f>HYPERLINK("https://t.co/wl7KsuBKo3")</f>
        <v>https://t.co/wl7KsuBKo3</v>
      </c>
      <c r="AR53" s="76" t="str">
        <f>HYPERLINK("http://pan.or.id")</f>
        <v>http://pan.or.id</v>
      </c>
      <c r="AS53" t="s">
        <v>2303</v>
      </c>
      <c r="AX53" s="76" t="str">
        <f>HYPERLINK("https://t.co/wl7KsuBKo3")</f>
        <v>https://t.co/wl7KsuBKo3</v>
      </c>
      <c r="AY53" t="b">
        <v>0</v>
      </c>
      <c r="BB53" t="b">
        <v>0</v>
      </c>
      <c r="BC53" t="b">
        <v>1</v>
      </c>
      <c r="BD53" t="b">
        <v>0</v>
      </c>
      <c r="BE53" t="b">
        <v>0</v>
      </c>
      <c r="BF53" t="b">
        <v>0</v>
      </c>
      <c r="BG53" t="b">
        <v>0</v>
      </c>
      <c r="BH53" t="b">
        <v>0</v>
      </c>
      <c r="BI53" s="76" t="str">
        <f>HYPERLINK("https://pbs.twimg.com/profile_banners/1247925980/1615361560")</f>
        <v>https://pbs.twimg.com/profile_banners/1247925980/1615361560</v>
      </c>
      <c r="BK53" t="s">
        <v>2343</v>
      </c>
      <c r="BL53" t="b">
        <v>0</v>
      </c>
      <c r="BN53" t="s">
        <v>65</v>
      </c>
      <c r="BO53" t="s">
        <v>2345</v>
      </c>
      <c r="BP53" s="76" t="str">
        <f>HYPERLINK("https://twitter.com/official_pan")</f>
        <v>https://twitter.com/official_pan</v>
      </c>
      <c r="BQ53" s="44"/>
      <c r="BR53" s="44"/>
      <c r="BS53" s="44"/>
      <c r="BT53" s="44"/>
      <c r="BU53" s="44"/>
      <c r="BV53" s="44"/>
      <c r="BW53" s="44"/>
      <c r="BX53" s="44"/>
      <c r="BY53" s="44"/>
      <c r="BZ53" s="44"/>
      <c r="CA53" s="44"/>
      <c r="CB53" s="45"/>
      <c r="CC53" s="44"/>
      <c r="CD53" s="45"/>
      <c r="CE53" s="44"/>
      <c r="CF53" s="45"/>
      <c r="CG53" s="44"/>
      <c r="CH53" s="45"/>
      <c r="CI53" s="44"/>
      <c r="CJ53" s="112" t="str">
        <f>REPLACE(INDEX(GroupVertices[Group],MATCH("~"&amp;Vertices[[#This Row],[Vertex]],GroupVertices[Vertex],0)),1,1,"")</f>
        <v>2</v>
      </c>
      <c r="CK53" s="44"/>
      <c r="CL53" s="44"/>
      <c r="CM53" s="44"/>
      <c r="CN53" s="44"/>
      <c r="CO53" s="2"/>
    </row>
    <row r="54" spans="1:93" ht="41.45" customHeight="1">
      <c r="A54" s="59" t="s">
        <v>413</v>
      </c>
      <c r="C54" s="60"/>
      <c r="D54" s="60" t="s">
        <v>64</v>
      </c>
      <c r="E54" s="61">
        <v>1.5</v>
      </c>
      <c r="F54" s="63"/>
      <c r="G54" s="92" t="str">
        <f>HYPERLINK("https://pbs.twimg.com/profile_images/1727318037404209152/YTAXyJid_normal.jpg")</f>
        <v>https://pbs.twimg.com/profile_images/1727318037404209152/YTAXyJid_normal.jpg</v>
      </c>
      <c r="H54" s="60"/>
      <c r="I54" s="64" t="str">
        <f>Vertices[[#This Row],[Vertex]]</f>
        <v>sutanmangara</v>
      </c>
      <c r="J54" s="65"/>
      <c r="K54" s="65"/>
      <c r="L54" s="64"/>
      <c r="M54" s="68"/>
      <c r="N54" s="69">
        <v>2678.787841796875</v>
      </c>
      <c r="O54" s="69">
        <v>8594.3330078125</v>
      </c>
      <c r="P54" s="70"/>
      <c r="Q54" s="71"/>
      <c r="R54" s="71"/>
      <c r="S54" s="78"/>
      <c r="T54" s="44">
        <v>1</v>
      </c>
      <c r="U54" s="44">
        <v>0</v>
      </c>
      <c r="V54" s="45">
        <v>0</v>
      </c>
      <c r="W54" s="45">
        <v>0.133234</v>
      </c>
      <c r="X54" s="45">
        <v>0.006962</v>
      </c>
      <c r="Y54" s="45">
        <v>0.003359</v>
      </c>
      <c r="Z54" s="45">
        <v>0</v>
      </c>
      <c r="AA54" s="45">
        <v>0</v>
      </c>
      <c r="AB54" s="66">
        <v>54</v>
      </c>
      <c r="AC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4" s="67"/>
      <c r="AE54" t="s">
        <v>1675</v>
      </c>
      <c r="AF54" s="74" t="s">
        <v>1364</v>
      </c>
      <c r="AG54">
        <v>73965</v>
      </c>
      <c r="AH54">
        <v>2540</v>
      </c>
      <c r="AI54">
        <v>26908</v>
      </c>
      <c r="AJ54">
        <v>16</v>
      </c>
      <c r="AK54">
        <v>25213</v>
      </c>
      <c r="AL54">
        <v>11413</v>
      </c>
      <c r="AM54" t="b">
        <v>0</v>
      </c>
      <c r="AN54" s="73">
        <v>43873.93162037037</v>
      </c>
      <c r="AO54" t="s">
        <v>996</v>
      </c>
      <c r="AP54" t="s">
        <v>2146</v>
      </c>
      <c r="AW54">
        <v>1.57765890907808E+18</v>
      </c>
      <c r="AY54" t="b">
        <v>0</v>
      </c>
      <c r="BB54" t="b">
        <v>1</v>
      </c>
      <c r="BC54" t="b">
        <v>0</v>
      </c>
      <c r="BD54" t="b">
        <v>1</v>
      </c>
      <c r="BE54" t="b">
        <v>0</v>
      </c>
      <c r="BF54" t="b">
        <v>1</v>
      </c>
      <c r="BG54" t="b">
        <v>0</v>
      </c>
      <c r="BH54" t="b">
        <v>0</v>
      </c>
      <c r="BI54" s="76" t="str">
        <f>HYPERLINK("https://pbs.twimg.com/profile_banners/1227719379103571968/1700673851")</f>
        <v>https://pbs.twimg.com/profile_banners/1227719379103571968/1700673851</v>
      </c>
      <c r="BK54" t="s">
        <v>2343</v>
      </c>
      <c r="BL54" t="b">
        <v>0</v>
      </c>
      <c r="BN54" t="s">
        <v>65</v>
      </c>
      <c r="BO54" t="s">
        <v>2345</v>
      </c>
      <c r="BP54" s="76" t="str">
        <f>HYPERLINK("https://twitter.com/sutanmangara")</f>
        <v>https://twitter.com/sutanmangara</v>
      </c>
      <c r="BQ54" s="44"/>
      <c r="BR54" s="44"/>
      <c r="BS54" s="44"/>
      <c r="BT54" s="44"/>
      <c r="BU54" s="44"/>
      <c r="BV54" s="44"/>
      <c r="BW54" s="44"/>
      <c r="BX54" s="44"/>
      <c r="BY54" s="44"/>
      <c r="BZ54" s="44"/>
      <c r="CA54" s="44"/>
      <c r="CB54" s="45"/>
      <c r="CC54" s="44"/>
      <c r="CD54" s="45"/>
      <c r="CE54" s="44"/>
      <c r="CF54" s="45"/>
      <c r="CG54" s="44"/>
      <c r="CH54" s="45"/>
      <c r="CI54" s="44"/>
      <c r="CJ54" s="112" t="str">
        <f>REPLACE(INDEX(GroupVertices[Group],MATCH("~"&amp;Vertices[[#This Row],[Vertex]],GroupVertices[Vertex],0)),1,1,"")</f>
        <v>2</v>
      </c>
      <c r="CK54" s="44"/>
      <c r="CL54" s="44"/>
      <c r="CM54" s="44"/>
      <c r="CN54" s="44"/>
      <c r="CO54" s="2"/>
    </row>
    <row r="55" spans="1:93" ht="41.45" customHeight="1">
      <c r="A55" s="59" t="s">
        <v>422</v>
      </c>
      <c r="C55" s="60"/>
      <c r="D55" s="60" t="s">
        <v>64</v>
      </c>
      <c r="E55" s="61">
        <v>1.5</v>
      </c>
      <c r="F55" s="63"/>
      <c r="G55" s="92" t="str">
        <f>HYPERLINK("https://pbs.twimg.com/profile_images/722381886647959552/rmk9WGB0_normal.jpg")</f>
        <v>https://pbs.twimg.com/profile_images/722381886647959552/rmk9WGB0_normal.jpg</v>
      </c>
      <c r="H55" s="60"/>
      <c r="I55" s="64" t="str">
        <f>Vertices[[#This Row],[Vertex]]</f>
        <v>dpdri</v>
      </c>
      <c r="J55" s="65"/>
      <c r="K55" s="65"/>
      <c r="L55" s="64"/>
      <c r="M55" s="68"/>
      <c r="N55" s="69">
        <v>2214.147705078125</v>
      </c>
      <c r="O55" s="69">
        <v>6654.2216796875</v>
      </c>
      <c r="P55" s="70"/>
      <c r="Q55" s="71"/>
      <c r="R55" s="71"/>
      <c r="S55" s="78"/>
      <c r="T55" s="44">
        <v>1</v>
      </c>
      <c r="U55" s="44">
        <v>0</v>
      </c>
      <c r="V55" s="45">
        <v>0</v>
      </c>
      <c r="W55" s="45">
        <v>0.133234</v>
      </c>
      <c r="X55" s="45">
        <v>0.006962</v>
      </c>
      <c r="Y55" s="45">
        <v>0.003359</v>
      </c>
      <c r="Z55" s="45">
        <v>0</v>
      </c>
      <c r="AA55" s="45">
        <v>0</v>
      </c>
      <c r="AB55" s="66">
        <v>55</v>
      </c>
      <c r="AC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5" s="67"/>
      <c r="AE55" t="s">
        <v>1684</v>
      </c>
      <c r="AF55" s="74" t="s">
        <v>1856</v>
      </c>
      <c r="AG55">
        <v>72779</v>
      </c>
      <c r="AH55">
        <v>935</v>
      </c>
      <c r="AI55">
        <v>34637</v>
      </c>
      <c r="AJ55">
        <v>83</v>
      </c>
      <c r="AK55">
        <v>2078</v>
      </c>
      <c r="AL55">
        <v>9918</v>
      </c>
      <c r="AM55" t="b">
        <v>0</v>
      </c>
      <c r="AN55" s="73">
        <v>41242.34013888889</v>
      </c>
      <c r="AO55" t="s">
        <v>1979</v>
      </c>
      <c r="AP55" t="s">
        <v>2155</v>
      </c>
      <c r="AQ55" s="76" t="str">
        <f>HYPERLINK("https://t.co/wm8dtlyGvk")</f>
        <v>https://t.co/wm8dtlyGvk</v>
      </c>
      <c r="AR55" s="76" t="str">
        <f>HYPERLINK("http://www.dpd.go.id")</f>
        <v>http://www.dpd.go.id</v>
      </c>
      <c r="AS55" t="s">
        <v>2304</v>
      </c>
      <c r="AX55" s="76" t="str">
        <f>HYPERLINK("https://t.co/wm8dtlyGvk")</f>
        <v>https://t.co/wm8dtlyGvk</v>
      </c>
      <c r="AY55" t="b">
        <v>0</v>
      </c>
      <c r="BB55" t="b">
        <v>1</v>
      </c>
      <c r="BC55" t="b">
        <v>0</v>
      </c>
      <c r="BD55" t="b">
        <v>0</v>
      </c>
      <c r="BE55" t="b">
        <v>0</v>
      </c>
      <c r="BF55" t="b">
        <v>1</v>
      </c>
      <c r="BG55" t="b">
        <v>0</v>
      </c>
      <c r="BH55" t="b">
        <v>0</v>
      </c>
      <c r="BI55" s="76" t="str">
        <f>HYPERLINK("https://pbs.twimg.com/profile_banners/977870468/1460425691")</f>
        <v>https://pbs.twimg.com/profile_banners/977870468/1460425691</v>
      </c>
      <c r="BK55" t="s">
        <v>2343</v>
      </c>
      <c r="BL55" t="b">
        <v>0</v>
      </c>
      <c r="BN55" t="s">
        <v>65</v>
      </c>
      <c r="BO55" t="s">
        <v>2345</v>
      </c>
      <c r="BP55" s="76" t="str">
        <f>HYPERLINK("https://twitter.com/dpdri")</f>
        <v>https://twitter.com/dpdri</v>
      </c>
      <c r="BQ55" s="44"/>
      <c r="BR55" s="44"/>
      <c r="BS55" s="44"/>
      <c r="BT55" s="44"/>
      <c r="BU55" s="44"/>
      <c r="BV55" s="44"/>
      <c r="BW55" s="44"/>
      <c r="BX55" s="44"/>
      <c r="BY55" s="44"/>
      <c r="BZ55" s="44"/>
      <c r="CA55" s="44"/>
      <c r="CB55" s="45"/>
      <c r="CC55" s="44"/>
      <c r="CD55" s="45"/>
      <c r="CE55" s="44"/>
      <c r="CF55" s="45"/>
      <c r="CG55" s="44"/>
      <c r="CH55" s="45"/>
      <c r="CI55" s="44"/>
      <c r="CJ55" s="112" t="str">
        <f>REPLACE(INDEX(GroupVertices[Group],MATCH("~"&amp;Vertices[[#This Row],[Vertex]],GroupVertices[Vertex],0)),1,1,"")</f>
        <v>2</v>
      </c>
      <c r="CK55" s="44"/>
      <c r="CL55" s="44"/>
      <c r="CM55" s="44"/>
      <c r="CN55" s="44"/>
      <c r="CO55" s="2"/>
    </row>
    <row r="56" spans="1:93" ht="41.45" customHeight="1">
      <c r="A56" s="59" t="s">
        <v>417</v>
      </c>
      <c r="C56" s="60"/>
      <c r="D56" s="60" t="s">
        <v>64</v>
      </c>
      <c r="E56" s="61">
        <v>1.5</v>
      </c>
      <c r="F56" s="63"/>
      <c r="G56" s="92" t="str">
        <f>HYPERLINK("https://pbs.twimg.com/profile_images/1392453158039744514/VxyIvG4s_normal.jpg")</f>
        <v>https://pbs.twimg.com/profile_images/1392453158039744514/VxyIvG4s_normal.jpg</v>
      </c>
      <c r="H56" s="60"/>
      <c r="I56" s="64" t="str">
        <f>Vertices[[#This Row],[Vertex]]</f>
        <v>uyokback</v>
      </c>
      <c r="J56" s="65"/>
      <c r="K56" s="65"/>
      <c r="L56" s="64"/>
      <c r="M56" s="68"/>
      <c r="N56" s="69">
        <v>2289.86669921875</v>
      </c>
      <c r="O56" s="69">
        <v>5202.18310546875</v>
      </c>
      <c r="P56" s="70"/>
      <c r="Q56" s="71"/>
      <c r="R56" s="71"/>
      <c r="S56" s="78"/>
      <c r="T56" s="44">
        <v>1</v>
      </c>
      <c r="U56" s="44">
        <v>0</v>
      </c>
      <c r="V56" s="45">
        <v>0</v>
      </c>
      <c r="W56" s="45">
        <v>0.133234</v>
      </c>
      <c r="X56" s="45">
        <v>0.006962</v>
      </c>
      <c r="Y56" s="45">
        <v>0.003359</v>
      </c>
      <c r="Z56" s="45">
        <v>0</v>
      </c>
      <c r="AA56" s="45">
        <v>0</v>
      </c>
      <c r="AB56" s="66">
        <v>56</v>
      </c>
      <c r="AC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6" s="67"/>
      <c r="AE56" t="s">
        <v>1679</v>
      </c>
      <c r="AF56" s="74" t="s">
        <v>1367</v>
      </c>
      <c r="AG56">
        <v>65677</v>
      </c>
      <c r="AH56">
        <v>435</v>
      </c>
      <c r="AI56">
        <v>43864</v>
      </c>
      <c r="AJ56">
        <v>26</v>
      </c>
      <c r="AK56">
        <v>31851</v>
      </c>
      <c r="AL56">
        <v>4699</v>
      </c>
      <c r="AM56" t="b">
        <v>0</v>
      </c>
      <c r="AN56" s="73">
        <v>42991.39126157408</v>
      </c>
      <c r="AP56" t="s">
        <v>2150</v>
      </c>
      <c r="AW56">
        <v>1.71699094122623E+18</v>
      </c>
      <c r="AY56" t="b">
        <v>0</v>
      </c>
      <c r="BB56" t="b">
        <v>0</v>
      </c>
      <c r="BC56" t="b">
        <v>0</v>
      </c>
      <c r="BD56" t="b">
        <v>1</v>
      </c>
      <c r="BE56" t="b">
        <v>0</v>
      </c>
      <c r="BF56" t="b">
        <v>1</v>
      </c>
      <c r="BG56" t="b">
        <v>0</v>
      </c>
      <c r="BH56" t="b">
        <v>0</v>
      </c>
      <c r="BI56" s="76" t="str">
        <f>HYPERLINK("https://pbs.twimg.com/profile_banners/907897495044317185/1667220472")</f>
        <v>https://pbs.twimg.com/profile_banners/907897495044317185/1667220472</v>
      </c>
      <c r="BK56" t="s">
        <v>2343</v>
      </c>
      <c r="BL56" t="b">
        <v>0</v>
      </c>
      <c r="BN56" t="s">
        <v>65</v>
      </c>
      <c r="BO56" t="s">
        <v>2345</v>
      </c>
      <c r="BP56" s="76" t="str">
        <f>HYPERLINK("https://twitter.com/uyokback")</f>
        <v>https://twitter.com/uyokback</v>
      </c>
      <c r="BQ56" s="44"/>
      <c r="BR56" s="44"/>
      <c r="BS56" s="44"/>
      <c r="BT56" s="44"/>
      <c r="BU56" s="44"/>
      <c r="BV56" s="44"/>
      <c r="BW56" s="44"/>
      <c r="BX56" s="44"/>
      <c r="BY56" s="44"/>
      <c r="BZ56" s="44"/>
      <c r="CA56" s="44"/>
      <c r="CB56" s="45"/>
      <c r="CC56" s="44"/>
      <c r="CD56" s="45"/>
      <c r="CE56" s="44"/>
      <c r="CF56" s="45"/>
      <c r="CG56" s="44"/>
      <c r="CH56" s="45"/>
      <c r="CI56" s="44"/>
      <c r="CJ56" s="112" t="str">
        <f>REPLACE(INDEX(GroupVertices[Group],MATCH("~"&amp;Vertices[[#This Row],[Vertex]],GroupVertices[Vertex],0)),1,1,"")</f>
        <v>2</v>
      </c>
      <c r="CK56" s="44"/>
      <c r="CL56" s="44"/>
      <c r="CM56" s="44"/>
      <c r="CN56" s="44"/>
      <c r="CO56" s="2"/>
    </row>
    <row r="57" spans="1:93" ht="41.45" customHeight="1">
      <c r="A57" s="59" t="s">
        <v>412</v>
      </c>
      <c r="C57" s="60"/>
      <c r="D57" s="60" t="s">
        <v>64</v>
      </c>
      <c r="E57" s="61">
        <v>1.5</v>
      </c>
      <c r="F57" s="63"/>
      <c r="G57" s="92" t="str">
        <f>HYPERLINK("https://pbs.twimg.com/profile_images/1355874844613562371/crNKQTas_normal.jpg")</f>
        <v>https://pbs.twimg.com/profile_images/1355874844613562371/crNKQTas_normal.jpg</v>
      </c>
      <c r="H57" s="60"/>
      <c r="I57" s="64" t="str">
        <f>Vertices[[#This Row],[Vertex]]</f>
        <v>knpiharis</v>
      </c>
      <c r="J57" s="65"/>
      <c r="K57" s="65"/>
      <c r="L57" s="64"/>
      <c r="M57" s="68"/>
      <c r="N57" s="69">
        <v>2538.724609375</v>
      </c>
      <c r="O57" s="69">
        <v>5537.87841796875</v>
      </c>
      <c r="P57" s="70"/>
      <c r="Q57" s="71"/>
      <c r="R57" s="71"/>
      <c r="S57" s="78"/>
      <c r="T57" s="44">
        <v>1</v>
      </c>
      <c r="U57" s="44">
        <v>0</v>
      </c>
      <c r="V57" s="45">
        <v>0</v>
      </c>
      <c r="W57" s="45">
        <v>0.133234</v>
      </c>
      <c r="X57" s="45">
        <v>0.006962</v>
      </c>
      <c r="Y57" s="45">
        <v>0.003359</v>
      </c>
      <c r="Z57" s="45">
        <v>0</v>
      </c>
      <c r="AA57" s="45">
        <v>0</v>
      </c>
      <c r="AB57" s="66">
        <v>57</v>
      </c>
      <c r="AC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7" s="67"/>
      <c r="AE57" t="s">
        <v>1674</v>
      </c>
      <c r="AF57" s="74" t="s">
        <v>1851</v>
      </c>
      <c r="AG57">
        <v>53736</v>
      </c>
      <c r="AH57">
        <v>557</v>
      </c>
      <c r="AI57">
        <v>5294</v>
      </c>
      <c r="AJ57">
        <v>4</v>
      </c>
      <c r="AK57">
        <v>329</v>
      </c>
      <c r="AL57">
        <v>1533</v>
      </c>
      <c r="AM57" t="b">
        <v>0</v>
      </c>
      <c r="AN57" s="73">
        <v>44227.48577546296</v>
      </c>
      <c r="AO57" t="s">
        <v>1976</v>
      </c>
      <c r="AP57" t="s">
        <v>2145</v>
      </c>
      <c r="AQ57" s="76" t="str">
        <f>HYPERLINK("https://t.co/KspBCFSeLj")</f>
        <v>https://t.co/KspBCFSeLj</v>
      </c>
      <c r="AR57" s="76" t="str">
        <f>HYPERLINK("http://www.knpi.or.id")</f>
        <v>http://www.knpi.or.id</v>
      </c>
      <c r="AS57" t="s">
        <v>2300</v>
      </c>
      <c r="AX57" s="76" t="str">
        <f>HYPERLINK("https://t.co/KspBCFSeLj")</f>
        <v>https://t.co/KspBCFSeLj</v>
      </c>
      <c r="AY57" t="b">
        <v>1</v>
      </c>
      <c r="BB57" t="b">
        <v>1</v>
      </c>
      <c r="BC57" t="b">
        <v>1</v>
      </c>
      <c r="BD57" t="b">
        <v>1</v>
      </c>
      <c r="BE57" t="b">
        <v>0</v>
      </c>
      <c r="BF57" t="b">
        <v>0</v>
      </c>
      <c r="BG57" t="b">
        <v>0</v>
      </c>
      <c r="BH57" t="b">
        <v>0</v>
      </c>
      <c r="BI57" s="76" t="str">
        <f>HYPERLINK("https://pbs.twimg.com/profile_banners/1355843073230553088/1615391494")</f>
        <v>https://pbs.twimg.com/profile_banners/1355843073230553088/1615391494</v>
      </c>
      <c r="BK57" t="s">
        <v>2343</v>
      </c>
      <c r="BL57" t="b">
        <v>0</v>
      </c>
      <c r="BN57" t="s">
        <v>65</v>
      </c>
      <c r="BO57" t="s">
        <v>2345</v>
      </c>
      <c r="BP57" s="76" t="str">
        <f>HYPERLINK("https://twitter.com/knpiharis")</f>
        <v>https://twitter.com/knpiharis</v>
      </c>
      <c r="BQ57" s="44"/>
      <c r="BR57" s="44"/>
      <c r="BS57" s="44"/>
      <c r="BT57" s="44"/>
      <c r="BU57" s="44"/>
      <c r="BV57" s="44"/>
      <c r="BW57" s="44"/>
      <c r="BX57" s="44"/>
      <c r="BY57" s="44"/>
      <c r="BZ57" s="44"/>
      <c r="CA57" s="44"/>
      <c r="CB57" s="45"/>
      <c r="CC57" s="44"/>
      <c r="CD57" s="45"/>
      <c r="CE57" s="44"/>
      <c r="CF57" s="45"/>
      <c r="CG57" s="44"/>
      <c r="CH57" s="45"/>
      <c r="CI57" s="44"/>
      <c r="CJ57" s="112" t="str">
        <f>REPLACE(INDEX(GroupVertices[Group],MATCH("~"&amp;Vertices[[#This Row],[Vertex]],GroupVertices[Vertex],0)),1,1,"")</f>
        <v>2</v>
      </c>
      <c r="CK57" s="44"/>
      <c r="CL57" s="44"/>
      <c r="CM57" s="44"/>
      <c r="CN57" s="44"/>
      <c r="CO57" s="2"/>
    </row>
    <row r="58" spans="1:93" ht="41.45" customHeight="1">
      <c r="A58" s="59" t="s">
        <v>410</v>
      </c>
      <c r="C58" s="60"/>
      <c r="D58" s="60" t="s">
        <v>64</v>
      </c>
      <c r="E58" s="61">
        <v>1.5</v>
      </c>
      <c r="F58" s="63"/>
      <c r="G58" s="92" t="str">
        <f>HYPERLINK("https://pbs.twimg.com/profile_images/1715940318611476480/BakUjb0W_normal.jpg")</f>
        <v>https://pbs.twimg.com/profile_images/1715940318611476480/BakUjb0W_normal.jpg</v>
      </c>
      <c r="H58" s="60"/>
      <c r="I58" s="64" t="str">
        <f>Vertices[[#This Row],[Vertex]]</f>
        <v>onlyfrens</v>
      </c>
      <c r="J58" s="65"/>
      <c r="K58" s="65"/>
      <c r="L58" s="64"/>
      <c r="M58" s="68"/>
      <c r="N58" s="69">
        <v>2020.947509765625</v>
      </c>
      <c r="O58" s="69">
        <v>5273.125</v>
      </c>
      <c r="P58" s="70"/>
      <c r="Q58" s="71"/>
      <c r="R58" s="71"/>
      <c r="S58" s="78"/>
      <c r="T58" s="44">
        <v>1</v>
      </c>
      <c r="U58" s="44">
        <v>0</v>
      </c>
      <c r="V58" s="45">
        <v>0</v>
      </c>
      <c r="W58" s="45">
        <v>0.133234</v>
      </c>
      <c r="X58" s="45">
        <v>0.006962</v>
      </c>
      <c r="Y58" s="45">
        <v>0.003359</v>
      </c>
      <c r="Z58" s="45">
        <v>0</v>
      </c>
      <c r="AA58" s="45">
        <v>0</v>
      </c>
      <c r="AB58" s="66">
        <v>58</v>
      </c>
      <c r="AC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8" s="67"/>
      <c r="AE58" t="s">
        <v>1672</v>
      </c>
      <c r="AF58" s="74" t="s">
        <v>1363</v>
      </c>
      <c r="AG58">
        <v>36577</v>
      </c>
      <c r="AH58">
        <v>1591</v>
      </c>
      <c r="AI58">
        <v>43272</v>
      </c>
      <c r="AJ58">
        <v>14</v>
      </c>
      <c r="AK58">
        <v>43</v>
      </c>
      <c r="AL58">
        <v>2943</v>
      </c>
      <c r="AM58" t="b">
        <v>0</v>
      </c>
      <c r="AN58" s="73">
        <v>43637.474907407406</v>
      </c>
      <c r="AO58" t="s">
        <v>1942</v>
      </c>
      <c r="AP58" t="s">
        <v>2143</v>
      </c>
      <c r="AQ58" s="76" t="str">
        <f>HYPERLINK("https://t.co/t6YzyKaxWm")</f>
        <v>https://t.co/t6YzyKaxWm</v>
      </c>
      <c r="AR58" s="76" t="str">
        <f>HYPERLINK("http://www.instagram.com/enggalpm")</f>
        <v>http://www.instagram.com/enggalpm</v>
      </c>
      <c r="AS58" t="s">
        <v>2298</v>
      </c>
      <c r="AW58">
        <v>1.72146929045992E+18</v>
      </c>
      <c r="AX58" s="76" t="str">
        <f>HYPERLINK("https://t.co/t6YzyKaxWm")</f>
        <v>https://t.co/t6YzyKaxWm</v>
      </c>
      <c r="AY58" t="b">
        <v>1</v>
      </c>
      <c r="BB58" t="b">
        <v>1</v>
      </c>
      <c r="BC58" t="b">
        <v>0</v>
      </c>
      <c r="BD58" t="b">
        <v>1</v>
      </c>
      <c r="BE58" t="b">
        <v>0</v>
      </c>
      <c r="BF58" t="b">
        <v>1</v>
      </c>
      <c r="BG58" t="b">
        <v>0</v>
      </c>
      <c r="BH58" t="b">
        <v>0</v>
      </c>
      <c r="BI58" s="76" t="str">
        <f>HYPERLINK("https://pbs.twimg.com/profile_banners/1142030368742133760/1640253597")</f>
        <v>https://pbs.twimg.com/profile_banners/1142030368742133760/1640253597</v>
      </c>
      <c r="BK58" t="s">
        <v>2343</v>
      </c>
      <c r="BL58" t="b">
        <v>0</v>
      </c>
      <c r="BN58" t="s">
        <v>65</v>
      </c>
      <c r="BO58" t="s">
        <v>2345</v>
      </c>
      <c r="BP58" s="76" t="str">
        <f>HYPERLINK("https://twitter.com/onlyfrens")</f>
        <v>https://twitter.com/onlyfrens</v>
      </c>
      <c r="BQ58" s="44"/>
      <c r="BR58" s="44"/>
      <c r="BS58" s="44"/>
      <c r="BT58" s="44"/>
      <c r="BU58" s="44"/>
      <c r="BV58" s="44"/>
      <c r="BW58" s="44"/>
      <c r="BX58" s="44"/>
      <c r="BY58" s="44"/>
      <c r="BZ58" s="44"/>
      <c r="CA58" s="44"/>
      <c r="CB58" s="45"/>
      <c r="CC58" s="44"/>
      <c r="CD58" s="45"/>
      <c r="CE58" s="44"/>
      <c r="CF58" s="45"/>
      <c r="CG58" s="44"/>
      <c r="CH58" s="45"/>
      <c r="CI58" s="44"/>
      <c r="CJ58" s="112" t="str">
        <f>REPLACE(INDEX(GroupVertices[Group],MATCH("~"&amp;Vertices[[#This Row],[Vertex]],GroupVertices[Vertex],0)),1,1,"")</f>
        <v>2</v>
      </c>
      <c r="CK58" s="44"/>
      <c r="CL58" s="44"/>
      <c r="CM58" s="44"/>
      <c r="CN58" s="44"/>
      <c r="CO58" s="2"/>
    </row>
    <row r="59" spans="1:93" ht="41.45" customHeight="1">
      <c r="A59" s="59" t="s">
        <v>407</v>
      </c>
      <c r="C59" s="60"/>
      <c r="D59" s="60" t="s">
        <v>64</v>
      </c>
      <c r="E59" s="61">
        <v>1.5</v>
      </c>
      <c r="F59" s="63"/>
      <c r="G59" s="92" t="str">
        <f>HYPERLINK("https://pbs.twimg.com/profile_images/378800000592139631/dbb84f05e1f9f8156288c7a6fd58db13_normal.jpeg")</f>
        <v>https://pbs.twimg.com/profile_images/378800000592139631/dbb84f05e1f9f8156288c7a6fd58db13_normal.jpeg</v>
      </c>
      <c r="H59" s="60"/>
      <c r="I59" s="64" t="str">
        <f>Vertices[[#This Row],[Vertex]]</f>
        <v>partaigolkar</v>
      </c>
      <c r="J59" s="65"/>
      <c r="K59" s="65"/>
      <c r="L59" s="64"/>
      <c r="M59" s="68"/>
      <c r="N59" s="69">
        <v>1787.2322998046875</v>
      </c>
      <c r="O59" s="69">
        <v>5668.517578125</v>
      </c>
      <c r="P59" s="70"/>
      <c r="Q59" s="71"/>
      <c r="R59" s="71"/>
      <c r="S59" s="78"/>
      <c r="T59" s="44">
        <v>1</v>
      </c>
      <c r="U59" s="44">
        <v>0</v>
      </c>
      <c r="V59" s="45">
        <v>0</v>
      </c>
      <c r="W59" s="45">
        <v>0.133234</v>
      </c>
      <c r="X59" s="45">
        <v>0.006962</v>
      </c>
      <c r="Y59" s="45">
        <v>0.003359</v>
      </c>
      <c r="Z59" s="45">
        <v>0</v>
      </c>
      <c r="AA59" s="45">
        <v>0</v>
      </c>
      <c r="AB59" s="66">
        <v>59</v>
      </c>
      <c r="AC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9" s="67"/>
      <c r="AE59" t="s">
        <v>1669</v>
      </c>
      <c r="AF59" s="74" t="s">
        <v>1847</v>
      </c>
      <c r="AG59">
        <v>32032</v>
      </c>
      <c r="AH59">
        <v>1</v>
      </c>
      <c r="AI59">
        <v>105</v>
      </c>
      <c r="AJ59">
        <v>101</v>
      </c>
      <c r="AK59">
        <v>1</v>
      </c>
      <c r="AL59">
        <v>8</v>
      </c>
      <c r="AM59" t="b">
        <v>0</v>
      </c>
      <c r="AN59" s="73">
        <v>40140.61482638889</v>
      </c>
      <c r="AO59" t="s">
        <v>1957</v>
      </c>
      <c r="AP59" t="s">
        <v>2140</v>
      </c>
      <c r="AQ59" s="76" t="str">
        <f>HYPERLINK("http://t.co/DWKZjmZNqL")</f>
        <v>http://t.co/DWKZjmZNqL</v>
      </c>
      <c r="AR59" s="76" t="str">
        <f>HYPERLINK("https://twitter.com/PartaiGolkar")</f>
        <v>https://twitter.com/PartaiGolkar</v>
      </c>
      <c r="AS59" t="s">
        <v>2295</v>
      </c>
      <c r="AX59" s="76" t="str">
        <f>HYPERLINK("http://t.co/DWKZjmZNqL")</f>
        <v>http://t.co/DWKZjmZNqL</v>
      </c>
      <c r="AY59" t="b">
        <v>0</v>
      </c>
      <c r="BB59" t="b">
        <v>0</v>
      </c>
      <c r="BC59" t="b">
        <v>1</v>
      </c>
      <c r="BD59" t="b">
        <v>0</v>
      </c>
      <c r="BE59" t="b">
        <v>0</v>
      </c>
      <c r="BF59" t="b">
        <v>0</v>
      </c>
      <c r="BG59" t="b">
        <v>0</v>
      </c>
      <c r="BH59" t="b">
        <v>0</v>
      </c>
      <c r="BI59" s="76" t="str">
        <f>HYPERLINK("https://pbs.twimg.com/profile_banners/92033108/1381703131")</f>
        <v>https://pbs.twimg.com/profile_banners/92033108/1381703131</v>
      </c>
      <c r="BK59" t="s">
        <v>2343</v>
      </c>
      <c r="BL59" t="b">
        <v>0</v>
      </c>
      <c r="BN59" t="s">
        <v>65</v>
      </c>
      <c r="BO59" t="s">
        <v>2345</v>
      </c>
      <c r="BP59" s="76" t="str">
        <f>HYPERLINK("https://twitter.com/partaigolkar")</f>
        <v>https://twitter.com/partaigolkar</v>
      </c>
      <c r="BQ59" s="44"/>
      <c r="BR59" s="44"/>
      <c r="BS59" s="44"/>
      <c r="BT59" s="44"/>
      <c r="BU59" s="44"/>
      <c r="BV59" s="44"/>
      <c r="BW59" s="44"/>
      <c r="BX59" s="44"/>
      <c r="BY59" s="44"/>
      <c r="BZ59" s="44"/>
      <c r="CA59" s="44"/>
      <c r="CB59" s="45"/>
      <c r="CC59" s="44"/>
      <c r="CD59" s="45"/>
      <c r="CE59" s="44"/>
      <c r="CF59" s="45"/>
      <c r="CG59" s="44"/>
      <c r="CH59" s="45"/>
      <c r="CI59" s="44"/>
      <c r="CJ59" s="112" t="str">
        <f>REPLACE(INDEX(GroupVertices[Group],MATCH("~"&amp;Vertices[[#This Row],[Vertex]],GroupVertices[Vertex],0)),1,1,"")</f>
        <v>2</v>
      </c>
      <c r="CK59" s="44"/>
      <c r="CL59" s="44"/>
      <c r="CM59" s="44"/>
      <c r="CN59" s="44"/>
      <c r="CO59" s="2"/>
    </row>
    <row r="60" spans="1:93" ht="41.45" customHeight="1">
      <c r="A60" s="59" t="s">
        <v>423</v>
      </c>
      <c r="C60" s="60"/>
      <c r="D60" s="60" t="s">
        <v>64</v>
      </c>
      <c r="E60" s="61">
        <v>1.5</v>
      </c>
      <c r="F60" s="63"/>
      <c r="G60" s="92" t="str">
        <f>HYPERLINK("https://pbs.twimg.com/profile_images/1583833910009802752/4l396ZLy_normal.jpg")</f>
        <v>https://pbs.twimg.com/profile_images/1583833910009802752/4l396ZLy_normal.jpg</v>
      </c>
      <c r="H60" s="60"/>
      <c r="I60" s="64" t="str">
        <f>Vertices[[#This Row],[Vertex]]</f>
        <v>yanharahap</v>
      </c>
      <c r="J60" s="65"/>
      <c r="K60" s="65"/>
      <c r="L60" s="64"/>
      <c r="M60" s="68"/>
      <c r="N60" s="69">
        <v>2727.4267578125</v>
      </c>
      <c r="O60" s="69">
        <v>6145.21630859375</v>
      </c>
      <c r="P60" s="70"/>
      <c r="Q60" s="71"/>
      <c r="R60" s="71"/>
      <c r="S60" s="78"/>
      <c r="T60" s="44">
        <v>1</v>
      </c>
      <c r="U60" s="44">
        <v>0</v>
      </c>
      <c r="V60" s="45">
        <v>0</v>
      </c>
      <c r="W60" s="45">
        <v>0.133234</v>
      </c>
      <c r="X60" s="45">
        <v>0.006962</v>
      </c>
      <c r="Y60" s="45">
        <v>0.003359</v>
      </c>
      <c r="Z60" s="45">
        <v>0</v>
      </c>
      <c r="AA60" s="45">
        <v>0</v>
      </c>
      <c r="AB60" s="66">
        <v>60</v>
      </c>
      <c r="AC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0" s="67"/>
      <c r="AE60" t="s">
        <v>1685</v>
      </c>
      <c r="AF60" s="74" t="s">
        <v>1370</v>
      </c>
      <c r="AG60">
        <v>23620</v>
      </c>
      <c r="AH60">
        <v>2002</v>
      </c>
      <c r="AI60">
        <v>47622</v>
      </c>
      <c r="AJ60">
        <v>7</v>
      </c>
      <c r="AK60">
        <v>79008</v>
      </c>
      <c r="AL60">
        <v>3849</v>
      </c>
      <c r="AM60" t="b">
        <v>0</v>
      </c>
      <c r="AN60" s="73">
        <v>40024.48648148148</v>
      </c>
      <c r="AO60" t="s">
        <v>1957</v>
      </c>
      <c r="AP60" t="s">
        <v>2156</v>
      </c>
      <c r="AQ60" s="76" t="str">
        <f>HYPERLINK("https://t.co/JnfKhyGSQJ")</f>
        <v>https://t.co/JnfKhyGSQJ</v>
      </c>
      <c r="AR60" s="76" t="str">
        <f>HYPERLINK("http://demokrat.or.id")</f>
        <v>http://demokrat.or.id</v>
      </c>
      <c r="AS60" t="s">
        <v>2305</v>
      </c>
      <c r="AX60" s="76" t="str">
        <f>HYPERLINK("https://t.co/JnfKhyGSQJ")</f>
        <v>https://t.co/JnfKhyGSQJ</v>
      </c>
      <c r="AY60" t="b">
        <v>1</v>
      </c>
      <c r="BB60" t="b">
        <v>0</v>
      </c>
      <c r="BC60" t="b">
        <v>0</v>
      </c>
      <c r="BD60" t="b">
        <v>0</v>
      </c>
      <c r="BE60" t="b">
        <v>0</v>
      </c>
      <c r="BF60" t="b">
        <v>1</v>
      </c>
      <c r="BG60" t="b">
        <v>0</v>
      </c>
      <c r="BH60" t="b">
        <v>0</v>
      </c>
      <c r="BI60" s="76" t="str">
        <f>HYPERLINK("https://pbs.twimg.com/profile_banners/61465123/1563536555")</f>
        <v>https://pbs.twimg.com/profile_banners/61465123/1563536555</v>
      </c>
      <c r="BK60" t="s">
        <v>2343</v>
      </c>
      <c r="BL60" t="b">
        <v>0</v>
      </c>
      <c r="BN60" t="s">
        <v>65</v>
      </c>
      <c r="BO60" t="s">
        <v>2345</v>
      </c>
      <c r="BP60" s="76" t="str">
        <f>HYPERLINK("https://twitter.com/yanharahap")</f>
        <v>https://twitter.com/yanharahap</v>
      </c>
      <c r="BQ60" s="44"/>
      <c r="BR60" s="44"/>
      <c r="BS60" s="44"/>
      <c r="BT60" s="44"/>
      <c r="BU60" s="44"/>
      <c r="BV60" s="44"/>
      <c r="BW60" s="44"/>
      <c r="BX60" s="44"/>
      <c r="BY60" s="44"/>
      <c r="BZ60" s="44"/>
      <c r="CA60" s="44"/>
      <c r="CB60" s="45"/>
      <c r="CC60" s="44"/>
      <c r="CD60" s="45"/>
      <c r="CE60" s="44"/>
      <c r="CF60" s="45"/>
      <c r="CG60" s="44"/>
      <c r="CH60" s="45"/>
      <c r="CI60" s="44"/>
      <c r="CJ60" s="112" t="str">
        <f>REPLACE(INDEX(GroupVertices[Group],MATCH("~"&amp;Vertices[[#This Row],[Vertex]],GroupVertices[Vertex],0)),1,1,"")</f>
        <v>2</v>
      </c>
      <c r="CK60" s="44"/>
      <c r="CL60" s="44"/>
      <c r="CM60" s="44"/>
      <c r="CN60" s="44"/>
      <c r="CO60" s="2"/>
    </row>
    <row r="61" spans="1:93" ht="41.45" customHeight="1">
      <c r="A61" s="59" t="s">
        <v>421</v>
      </c>
      <c r="C61" s="60"/>
      <c r="D61" s="60" t="s">
        <v>64</v>
      </c>
      <c r="E61" s="61">
        <v>1.5</v>
      </c>
      <c r="F61" s="63"/>
      <c r="G61" s="92" t="str">
        <f>HYPERLINK("https://pbs.twimg.com/profile_images/1506801035050123264/UzMdRkGl_normal.jpg")</f>
        <v>https://pbs.twimg.com/profile_images/1506801035050123264/UzMdRkGl_normal.jpg</v>
      </c>
      <c r="H61" s="60"/>
      <c r="I61" s="64" t="str">
        <f>Vertices[[#This Row],[Vertex]]</f>
        <v>dimasakbarz</v>
      </c>
      <c r="J61" s="65"/>
      <c r="K61" s="65"/>
      <c r="L61" s="64"/>
      <c r="M61" s="68"/>
      <c r="N61" s="69">
        <v>1623.8001708984375</v>
      </c>
      <c r="O61" s="69">
        <v>6334.37841796875</v>
      </c>
      <c r="P61" s="70"/>
      <c r="Q61" s="71"/>
      <c r="R61" s="71"/>
      <c r="S61" s="78"/>
      <c r="T61" s="44">
        <v>1</v>
      </c>
      <c r="U61" s="44">
        <v>0</v>
      </c>
      <c r="V61" s="45">
        <v>0</v>
      </c>
      <c r="W61" s="45">
        <v>0.133234</v>
      </c>
      <c r="X61" s="45">
        <v>0.006962</v>
      </c>
      <c r="Y61" s="45">
        <v>0.003359</v>
      </c>
      <c r="Z61" s="45">
        <v>0</v>
      </c>
      <c r="AA61" s="45">
        <v>0</v>
      </c>
      <c r="AB61" s="66">
        <v>61</v>
      </c>
      <c r="AC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1" s="67"/>
      <c r="AE61" t="s">
        <v>1683</v>
      </c>
      <c r="AF61" s="74" t="s">
        <v>1368</v>
      </c>
      <c r="AG61">
        <v>21751</v>
      </c>
      <c r="AH61">
        <v>1408</v>
      </c>
      <c r="AI61">
        <v>84404</v>
      </c>
      <c r="AJ61">
        <v>20</v>
      </c>
      <c r="AK61">
        <v>910</v>
      </c>
      <c r="AL61">
        <v>7869</v>
      </c>
      <c r="AM61" t="b">
        <v>0</v>
      </c>
      <c r="AN61" s="73">
        <v>40021.48158564815</v>
      </c>
      <c r="AO61" t="s">
        <v>1978</v>
      </c>
      <c r="AP61" t="s">
        <v>2154</v>
      </c>
      <c r="AW61">
        <v>4.29091088779837E+17</v>
      </c>
      <c r="AY61" t="b">
        <v>0</v>
      </c>
      <c r="BB61" t="b">
        <v>0</v>
      </c>
      <c r="BC61" t="b">
        <v>1</v>
      </c>
      <c r="BD61" t="b">
        <v>0</v>
      </c>
      <c r="BE61" t="b">
        <v>0</v>
      </c>
      <c r="BF61" t="b">
        <v>0</v>
      </c>
      <c r="BG61" t="b">
        <v>0</v>
      </c>
      <c r="BH61" t="b">
        <v>0</v>
      </c>
      <c r="BI61" s="76" t="str">
        <f>HYPERLINK("https://pbs.twimg.com/profile_banners/60570578/1640571193")</f>
        <v>https://pbs.twimg.com/profile_banners/60570578/1640571193</v>
      </c>
      <c r="BK61" t="s">
        <v>2343</v>
      </c>
      <c r="BL61" t="b">
        <v>0</v>
      </c>
      <c r="BN61" t="s">
        <v>65</v>
      </c>
      <c r="BO61" t="s">
        <v>2345</v>
      </c>
      <c r="BP61" s="76" t="str">
        <f>HYPERLINK("https://twitter.com/dimasakbarz")</f>
        <v>https://twitter.com/dimasakbarz</v>
      </c>
      <c r="BQ61" s="44"/>
      <c r="BR61" s="44"/>
      <c r="BS61" s="44"/>
      <c r="BT61" s="44"/>
      <c r="BU61" s="44"/>
      <c r="BV61" s="44"/>
      <c r="BW61" s="44"/>
      <c r="BX61" s="44"/>
      <c r="BY61" s="44"/>
      <c r="BZ61" s="44"/>
      <c r="CA61" s="44"/>
      <c r="CB61" s="45"/>
      <c r="CC61" s="44"/>
      <c r="CD61" s="45"/>
      <c r="CE61" s="44"/>
      <c r="CF61" s="45"/>
      <c r="CG61" s="44"/>
      <c r="CH61" s="45"/>
      <c r="CI61" s="44"/>
      <c r="CJ61" s="112" t="str">
        <f>REPLACE(INDEX(GroupVertices[Group],MATCH("~"&amp;Vertices[[#This Row],[Vertex]],GroupVertices[Vertex],0)),1,1,"")</f>
        <v>2</v>
      </c>
      <c r="CK61" s="44"/>
      <c r="CL61" s="44"/>
      <c r="CM61" s="44"/>
      <c r="CN61" s="44"/>
      <c r="CO61" s="2"/>
    </row>
    <row r="62" spans="1:93" ht="41.45" customHeight="1">
      <c r="A62" s="59" t="s">
        <v>411</v>
      </c>
      <c r="C62" s="60"/>
      <c r="D62" s="60" t="s">
        <v>64</v>
      </c>
      <c r="E62" s="61">
        <v>1.5</v>
      </c>
      <c r="F62" s="63"/>
      <c r="G62" s="92" t="str">
        <f>HYPERLINK("https://pbs.twimg.com/profile_images/1709396384322072576/NcT1Ud2e_normal.jpg")</f>
        <v>https://pbs.twimg.com/profile_images/1709396384322072576/NcT1Ud2e_normal.jpg</v>
      </c>
      <c r="H62" s="60"/>
      <c r="I62" s="64" t="str">
        <f>Vertices[[#This Row],[Vertex]]</f>
        <v>tamsilinrung</v>
      </c>
      <c r="J62" s="65"/>
      <c r="K62" s="65"/>
      <c r="L62" s="64"/>
      <c r="M62" s="68"/>
      <c r="N62" s="69">
        <v>1568.3653564453125</v>
      </c>
      <c r="O62" s="69">
        <v>7154.0400390625</v>
      </c>
      <c r="P62" s="70"/>
      <c r="Q62" s="71"/>
      <c r="R62" s="71"/>
      <c r="S62" s="78"/>
      <c r="T62" s="44">
        <v>1</v>
      </c>
      <c r="U62" s="44">
        <v>0</v>
      </c>
      <c r="V62" s="45">
        <v>0</v>
      </c>
      <c r="W62" s="45">
        <v>0.133234</v>
      </c>
      <c r="X62" s="45">
        <v>0.006962</v>
      </c>
      <c r="Y62" s="45">
        <v>0.003359</v>
      </c>
      <c r="Z62" s="45">
        <v>0</v>
      </c>
      <c r="AA62" s="45">
        <v>0</v>
      </c>
      <c r="AB62" s="66">
        <v>62</v>
      </c>
      <c r="AC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2" s="67"/>
      <c r="AE62" t="s">
        <v>1673</v>
      </c>
      <c r="AF62" s="74" t="s">
        <v>1850</v>
      </c>
      <c r="AG62">
        <v>4517</v>
      </c>
      <c r="AH62">
        <v>199</v>
      </c>
      <c r="AI62">
        <v>597</v>
      </c>
      <c r="AJ62">
        <v>5</v>
      </c>
      <c r="AK62">
        <v>113</v>
      </c>
      <c r="AL62">
        <v>159</v>
      </c>
      <c r="AM62" t="b">
        <v>0</v>
      </c>
      <c r="AN62" s="73">
        <v>41397.53234953704</v>
      </c>
      <c r="AO62" t="s">
        <v>1975</v>
      </c>
      <c r="AP62" t="s">
        <v>2144</v>
      </c>
      <c r="AQ62" s="76" t="str">
        <f>HYPERLINK("https://t.co/ODMTS0qbZs")</f>
        <v>https://t.co/ODMTS0qbZs</v>
      </c>
      <c r="AR62" s="76" t="str">
        <f>HYPERLINK("https://instagram.com/tamsilinrung")</f>
        <v>https://instagram.com/tamsilinrung</v>
      </c>
      <c r="AS62" t="s">
        <v>2299</v>
      </c>
      <c r="AW62">
        <v>1.7086179397491E+18</v>
      </c>
      <c r="AX62" s="76" t="str">
        <f>HYPERLINK("https://t.co/ODMTS0qbZs")</f>
        <v>https://t.co/ODMTS0qbZs</v>
      </c>
      <c r="AY62" t="b">
        <v>0</v>
      </c>
      <c r="BB62" t="b">
        <v>1</v>
      </c>
      <c r="BC62" t="b">
        <v>1</v>
      </c>
      <c r="BD62" t="b">
        <v>0</v>
      </c>
      <c r="BE62" t="b">
        <v>0</v>
      </c>
      <c r="BF62" t="b">
        <v>1</v>
      </c>
      <c r="BG62" t="b">
        <v>0</v>
      </c>
      <c r="BH62" t="b">
        <v>0</v>
      </c>
      <c r="BI62" s="76" t="str">
        <f>HYPERLINK("https://pbs.twimg.com/profile_banners/1399665230/1696386843")</f>
        <v>https://pbs.twimg.com/profile_banners/1399665230/1696386843</v>
      </c>
      <c r="BK62" t="s">
        <v>2343</v>
      </c>
      <c r="BL62" t="b">
        <v>0</v>
      </c>
      <c r="BN62" t="s">
        <v>65</v>
      </c>
      <c r="BO62" t="s">
        <v>2345</v>
      </c>
      <c r="BP62" s="76" t="str">
        <f>HYPERLINK("https://twitter.com/tamsilinrung")</f>
        <v>https://twitter.com/tamsilinrung</v>
      </c>
      <c r="BQ62" s="44"/>
      <c r="BR62" s="44"/>
      <c r="BS62" s="44"/>
      <c r="BT62" s="44"/>
      <c r="BU62" s="44"/>
      <c r="BV62" s="44"/>
      <c r="BW62" s="44"/>
      <c r="BX62" s="44"/>
      <c r="BY62" s="44"/>
      <c r="BZ62" s="44"/>
      <c r="CA62" s="44"/>
      <c r="CB62" s="45"/>
      <c r="CC62" s="44"/>
      <c r="CD62" s="45"/>
      <c r="CE62" s="44"/>
      <c r="CF62" s="45"/>
      <c r="CG62" s="44"/>
      <c r="CH62" s="45"/>
      <c r="CI62" s="44"/>
      <c r="CJ62" s="112" t="str">
        <f>REPLACE(INDEX(GroupVertices[Group],MATCH("~"&amp;Vertices[[#This Row],[Vertex]],GroupVertices[Vertex],0)),1,1,"")</f>
        <v>2</v>
      </c>
      <c r="CK62" s="44"/>
      <c r="CL62" s="44"/>
      <c r="CM62" s="44"/>
      <c r="CN62" s="44"/>
      <c r="CO62" s="2"/>
    </row>
    <row r="63" spans="1:93" ht="41.45" customHeight="1">
      <c r="A63" s="59" t="s">
        <v>415</v>
      </c>
      <c r="C63" s="60"/>
      <c r="D63" s="60" t="s">
        <v>64</v>
      </c>
      <c r="E63" s="61">
        <v>1.5</v>
      </c>
      <c r="F63" s="63"/>
      <c r="G63" s="92" t="str">
        <f>HYPERLINK("https://pbs.twimg.com/profile_images/1640246140833763331/5ybclxR8_normal.jpg")</f>
        <v>https://pbs.twimg.com/profile_images/1640246140833763331/5ybclxR8_normal.jpg</v>
      </c>
      <c r="H63" s="60"/>
      <c r="I63" s="64" t="str">
        <f>Vertices[[#This Row],[Vertex]]</f>
        <v>bang_ramzan</v>
      </c>
      <c r="J63" s="65"/>
      <c r="K63" s="65"/>
      <c r="L63" s="64"/>
      <c r="M63" s="68"/>
      <c r="N63" s="69">
        <v>2464.6767578125</v>
      </c>
      <c r="O63" s="69">
        <v>9125.8984375</v>
      </c>
      <c r="P63" s="70"/>
      <c r="Q63" s="71"/>
      <c r="R63" s="71"/>
      <c r="S63" s="78"/>
      <c r="T63" s="44">
        <v>1</v>
      </c>
      <c r="U63" s="44">
        <v>0</v>
      </c>
      <c r="V63" s="45">
        <v>0</v>
      </c>
      <c r="W63" s="45">
        <v>0.133234</v>
      </c>
      <c r="X63" s="45">
        <v>0.006962</v>
      </c>
      <c r="Y63" s="45">
        <v>0.003359</v>
      </c>
      <c r="Z63" s="45">
        <v>0</v>
      </c>
      <c r="AA63" s="45">
        <v>0</v>
      </c>
      <c r="AB63" s="66">
        <v>63</v>
      </c>
      <c r="AC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3" s="67"/>
      <c r="AE63" t="s">
        <v>1677</v>
      </c>
      <c r="AF63" s="74" t="s">
        <v>1365</v>
      </c>
      <c r="AG63">
        <v>3295</v>
      </c>
      <c r="AH63">
        <v>2395</v>
      </c>
      <c r="AI63">
        <v>3383</v>
      </c>
      <c r="AJ63">
        <v>0</v>
      </c>
      <c r="AK63">
        <v>2481</v>
      </c>
      <c r="AL63">
        <v>284</v>
      </c>
      <c r="AM63" t="b">
        <v>0</v>
      </c>
      <c r="AN63" s="73">
        <v>44441.595243055555</v>
      </c>
      <c r="AP63" t="s">
        <v>2148</v>
      </c>
      <c r="AY63" t="b">
        <v>0</v>
      </c>
      <c r="BB63" t="b">
        <v>0</v>
      </c>
      <c r="BC63" t="b">
        <v>1</v>
      </c>
      <c r="BD63" t="b">
        <v>1</v>
      </c>
      <c r="BE63" t="b">
        <v>0</v>
      </c>
      <c r="BF63" t="b">
        <v>1</v>
      </c>
      <c r="BG63" t="b">
        <v>0</v>
      </c>
      <c r="BH63" t="b">
        <v>0</v>
      </c>
      <c r="BI63" s="76" t="str">
        <f>HYPERLINK("https://pbs.twimg.com/profile_banners/1433433068283392007/1675730113")</f>
        <v>https://pbs.twimg.com/profile_banners/1433433068283392007/1675730113</v>
      </c>
      <c r="BK63" t="s">
        <v>2343</v>
      </c>
      <c r="BL63" t="b">
        <v>0</v>
      </c>
      <c r="BN63" t="s">
        <v>65</v>
      </c>
      <c r="BO63" t="s">
        <v>2345</v>
      </c>
      <c r="BP63" s="76" t="str">
        <f>HYPERLINK("https://twitter.com/bang_ramzan")</f>
        <v>https://twitter.com/bang_ramzan</v>
      </c>
      <c r="BQ63" s="44"/>
      <c r="BR63" s="44"/>
      <c r="BS63" s="44"/>
      <c r="BT63" s="44"/>
      <c r="BU63" s="44"/>
      <c r="BV63" s="44"/>
      <c r="BW63" s="44"/>
      <c r="BX63" s="44"/>
      <c r="BY63" s="44"/>
      <c r="BZ63" s="44"/>
      <c r="CA63" s="44"/>
      <c r="CB63" s="45"/>
      <c r="CC63" s="44"/>
      <c r="CD63" s="45"/>
      <c r="CE63" s="44"/>
      <c r="CF63" s="45"/>
      <c r="CG63" s="44"/>
      <c r="CH63" s="45"/>
      <c r="CI63" s="44"/>
      <c r="CJ63" s="112" t="str">
        <f>REPLACE(INDEX(GroupVertices[Group],MATCH("~"&amp;Vertices[[#This Row],[Vertex]],GroupVertices[Vertex],0)),1,1,"")</f>
        <v>2</v>
      </c>
      <c r="CK63" s="44"/>
      <c r="CL63" s="44"/>
      <c r="CM63" s="44"/>
      <c r="CN63" s="44"/>
      <c r="CO63" s="2"/>
    </row>
    <row r="64" spans="1:93" ht="41.45" customHeight="1">
      <c r="A64" s="59" t="s">
        <v>414</v>
      </c>
      <c r="C64" s="60"/>
      <c r="D64" s="60" t="s">
        <v>64</v>
      </c>
      <c r="E64" s="61">
        <v>1.5</v>
      </c>
      <c r="F64" s="63"/>
      <c r="G64" s="92" t="str">
        <f>HYPERLINK("https://pbs.twimg.com/profile_images/1559618801419038721/CQL1p_td_normal.jpg")</f>
        <v>https://pbs.twimg.com/profile_images/1559618801419038721/CQL1p_td_normal.jpg</v>
      </c>
      <c r="H64" s="60"/>
      <c r="I64" s="64" t="str">
        <f>Vertices[[#This Row],[Vertex]]</f>
        <v>knpimediacentre</v>
      </c>
      <c r="J64" s="65"/>
      <c r="K64" s="65"/>
      <c r="L64" s="64"/>
      <c r="M64" s="68"/>
      <c r="N64" s="69">
        <v>1596.771240234375</v>
      </c>
      <c r="O64" s="69">
        <v>7990.48388671875</v>
      </c>
      <c r="P64" s="70"/>
      <c r="Q64" s="71"/>
      <c r="R64" s="71"/>
      <c r="S64" s="78"/>
      <c r="T64" s="44">
        <v>1</v>
      </c>
      <c r="U64" s="44">
        <v>0</v>
      </c>
      <c r="V64" s="45">
        <v>0</v>
      </c>
      <c r="W64" s="45">
        <v>0.133234</v>
      </c>
      <c r="X64" s="45">
        <v>0.006962</v>
      </c>
      <c r="Y64" s="45">
        <v>0.003359</v>
      </c>
      <c r="Z64" s="45">
        <v>0</v>
      </c>
      <c r="AA64" s="45">
        <v>0</v>
      </c>
      <c r="AB64" s="66">
        <v>64</v>
      </c>
      <c r="AC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4" s="67"/>
      <c r="AE64" t="s">
        <v>1676</v>
      </c>
      <c r="AF64" s="74" t="s">
        <v>1852</v>
      </c>
      <c r="AG64">
        <v>2989</v>
      </c>
      <c r="AH64">
        <v>502</v>
      </c>
      <c r="AI64">
        <v>2579</v>
      </c>
      <c r="AJ64">
        <v>0</v>
      </c>
      <c r="AK64">
        <v>206</v>
      </c>
      <c r="AL64">
        <v>1013</v>
      </c>
      <c r="AM64" t="b">
        <v>0</v>
      </c>
      <c r="AN64" s="73">
        <v>44289.794016203705</v>
      </c>
      <c r="AO64" t="s">
        <v>1970</v>
      </c>
      <c r="AP64" t="s">
        <v>2147</v>
      </c>
      <c r="AQ64" s="76" t="str">
        <f>HYPERLINK("https://t.co/ilgCHvqa9v")</f>
        <v>https://t.co/ilgCHvqa9v</v>
      </c>
      <c r="AR64" s="76" t="str">
        <f>HYPERLINK("http://www.knpi.or.id")</f>
        <v>http://www.knpi.or.id</v>
      </c>
      <c r="AS64" t="s">
        <v>2300</v>
      </c>
      <c r="AX64" s="76" t="str">
        <f>HYPERLINK("https://t.co/ilgCHvqa9v")</f>
        <v>https://t.co/ilgCHvqa9v</v>
      </c>
      <c r="AY64" t="b">
        <v>0</v>
      </c>
      <c r="BB64" t="b">
        <v>1</v>
      </c>
      <c r="BC64" t="b">
        <v>0</v>
      </c>
      <c r="BD64" t="b">
        <v>1</v>
      </c>
      <c r="BE64" t="b">
        <v>0</v>
      </c>
      <c r="BF64" t="b">
        <v>0</v>
      </c>
      <c r="BG64" t="b">
        <v>0</v>
      </c>
      <c r="BH64" t="b">
        <v>0</v>
      </c>
      <c r="BI64" s="76" t="str">
        <f>HYPERLINK("https://pbs.twimg.com/profile_banners/1378422837422137346/1631256701")</f>
        <v>https://pbs.twimg.com/profile_banners/1378422837422137346/1631256701</v>
      </c>
      <c r="BK64" t="s">
        <v>2343</v>
      </c>
      <c r="BL64" t="b">
        <v>0</v>
      </c>
      <c r="BN64" t="s">
        <v>65</v>
      </c>
      <c r="BO64" t="s">
        <v>2345</v>
      </c>
      <c r="BP64" s="76" t="str">
        <f>HYPERLINK("https://twitter.com/knpimediacentre")</f>
        <v>https://twitter.com/knpimediacentre</v>
      </c>
      <c r="BQ64" s="44"/>
      <c r="BR64" s="44"/>
      <c r="BS64" s="44"/>
      <c r="BT64" s="44"/>
      <c r="BU64" s="44"/>
      <c r="BV64" s="44"/>
      <c r="BW64" s="44"/>
      <c r="BX64" s="44"/>
      <c r="BY64" s="44"/>
      <c r="BZ64" s="44"/>
      <c r="CA64" s="44"/>
      <c r="CB64" s="45"/>
      <c r="CC64" s="44"/>
      <c r="CD64" s="45"/>
      <c r="CE64" s="44"/>
      <c r="CF64" s="45"/>
      <c r="CG64" s="44"/>
      <c r="CH64" s="45"/>
      <c r="CI64" s="44"/>
      <c r="CJ64" s="112" t="str">
        <f>REPLACE(INDEX(GroupVertices[Group],MATCH("~"&amp;Vertices[[#This Row],[Vertex]],GroupVertices[Vertex],0)),1,1,"")</f>
        <v>2</v>
      </c>
      <c r="CK64" s="44"/>
      <c r="CL64" s="44"/>
      <c r="CM64" s="44"/>
      <c r="CN64" s="44"/>
      <c r="CO64" s="2"/>
    </row>
    <row r="65" spans="1:93" ht="41.45" customHeight="1">
      <c r="A65" s="59" t="s">
        <v>358</v>
      </c>
      <c r="C65" s="60"/>
      <c r="D65" s="60" t="s">
        <v>64</v>
      </c>
      <c r="E65" s="61">
        <v>1.5</v>
      </c>
      <c r="F65" s="63"/>
      <c r="G65" s="92" t="str">
        <f>HYPERLINK("https://pbs.twimg.com/profile_images/1490111952604962817/iEbPKWhz_normal.jpg")</f>
        <v>https://pbs.twimg.com/profile_images/1490111952604962817/iEbPKWhz_normal.jpg</v>
      </c>
      <c r="H65" s="60"/>
      <c r="I65" s="64" t="str">
        <f>Vertices[[#This Row],[Vertex]]</f>
        <v>refrizalskb</v>
      </c>
      <c r="J65" s="65"/>
      <c r="K65" s="65"/>
      <c r="L65" s="64"/>
      <c r="M65" s="68"/>
      <c r="N65" s="69">
        <v>3476.893310546875</v>
      </c>
      <c r="O65" s="69">
        <v>4301.373046875</v>
      </c>
      <c r="P65" s="70"/>
      <c r="Q65" s="71"/>
      <c r="R65" s="71"/>
      <c r="S65" s="78"/>
      <c r="T65" s="44">
        <v>1</v>
      </c>
      <c r="U65" s="44">
        <v>0</v>
      </c>
      <c r="V65" s="45">
        <v>0</v>
      </c>
      <c r="W65" s="45">
        <v>0.121625</v>
      </c>
      <c r="X65" s="45">
        <v>0.001699</v>
      </c>
      <c r="Y65" s="45">
        <v>0.003394</v>
      </c>
      <c r="Z65" s="45">
        <v>0</v>
      </c>
      <c r="AA65" s="45">
        <v>0</v>
      </c>
      <c r="AB65" s="66">
        <v>65</v>
      </c>
      <c r="AC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5" s="67"/>
      <c r="AE65" t="s">
        <v>358</v>
      </c>
      <c r="AF65" s="74" t="s">
        <v>1335</v>
      </c>
      <c r="AG65">
        <v>30715</v>
      </c>
      <c r="AH65">
        <v>13655</v>
      </c>
      <c r="AI65">
        <v>25186</v>
      </c>
      <c r="AJ65">
        <v>13</v>
      </c>
      <c r="AK65">
        <v>34988</v>
      </c>
      <c r="AL65">
        <v>3080</v>
      </c>
      <c r="AM65" t="b">
        <v>0</v>
      </c>
      <c r="AN65" s="73">
        <v>41352.35841435185</v>
      </c>
      <c r="AO65" t="s">
        <v>1954</v>
      </c>
      <c r="AP65" t="s">
        <v>2063</v>
      </c>
      <c r="AQ65" s="76" t="str">
        <f>HYPERLINK("https://t.co/RIlgCWXbEK")</f>
        <v>https://t.co/RIlgCWXbEK</v>
      </c>
      <c r="AR65" s="76" t="str">
        <f>HYPERLINK("http://www.refrizal.com")</f>
        <v>http://www.refrizal.com</v>
      </c>
      <c r="AS65" t="s">
        <v>2272</v>
      </c>
      <c r="AW65">
        <v>1.03938720869487E+18</v>
      </c>
      <c r="AX65" s="76" t="str">
        <f>HYPERLINK("https://t.co/RIlgCWXbEK")</f>
        <v>https://t.co/RIlgCWXbEK</v>
      </c>
      <c r="AY65" t="b">
        <v>0</v>
      </c>
      <c r="BB65" t="b">
        <v>0</v>
      </c>
      <c r="BC65" t="b">
        <v>1</v>
      </c>
      <c r="BD65" t="b">
        <v>1</v>
      </c>
      <c r="BE65" t="b">
        <v>0</v>
      </c>
      <c r="BF65" t="b">
        <v>1</v>
      </c>
      <c r="BG65" t="b">
        <v>0</v>
      </c>
      <c r="BH65" t="b">
        <v>1</v>
      </c>
      <c r="BI65" s="76" t="str">
        <f>HYPERLINK("https://pbs.twimg.com/profile_banners/1279880442/1654344035")</f>
        <v>https://pbs.twimg.com/profile_banners/1279880442/1654344035</v>
      </c>
      <c r="BJ65" t="s">
        <v>2342</v>
      </c>
      <c r="BK65" t="s">
        <v>2343</v>
      </c>
      <c r="BL65" t="b">
        <v>0</v>
      </c>
      <c r="BN65" t="s">
        <v>65</v>
      </c>
      <c r="BO65" t="s">
        <v>2345</v>
      </c>
      <c r="BP65" s="76" t="str">
        <f>HYPERLINK("https://twitter.com/refrizalskb")</f>
        <v>https://twitter.com/refrizalskb</v>
      </c>
      <c r="BQ65" s="44"/>
      <c r="BR65" s="44"/>
      <c r="BS65" s="44"/>
      <c r="BT65" s="44"/>
      <c r="BU65" s="44"/>
      <c r="BV65" s="44"/>
      <c r="BW65" s="44"/>
      <c r="BX65" s="44"/>
      <c r="BY65" s="44"/>
      <c r="BZ65" s="44"/>
      <c r="CA65" s="44"/>
      <c r="CB65" s="45"/>
      <c r="CC65" s="44"/>
      <c r="CD65" s="45"/>
      <c r="CE65" s="44"/>
      <c r="CF65" s="45"/>
      <c r="CG65" s="44"/>
      <c r="CH65" s="45"/>
      <c r="CI65" s="44"/>
      <c r="CJ65" s="112" t="str">
        <f>REPLACE(INDEX(GroupVertices[Group],MATCH("~"&amp;Vertices[[#This Row],[Vertex]],GroupVertices[Vertex],0)),1,1,"")</f>
        <v>6</v>
      </c>
      <c r="CK65" s="44"/>
      <c r="CL65" s="44"/>
      <c r="CM65" s="44"/>
      <c r="CN65" s="44"/>
      <c r="CO65" s="2"/>
    </row>
    <row r="66" spans="1:93" ht="41.45" customHeight="1">
      <c r="A66" s="59" t="s">
        <v>234</v>
      </c>
      <c r="C66" s="60"/>
      <c r="D66" s="60" t="s">
        <v>64</v>
      </c>
      <c r="E66" s="61">
        <v>1.5</v>
      </c>
      <c r="F66" s="63"/>
      <c r="G66" s="92" t="str">
        <f>HYPERLINK("https://pbs.twimg.com/profile_images/1419567238357475331/groIw0Db_normal.jpg")</f>
        <v>https://pbs.twimg.com/profile_images/1419567238357475331/groIw0Db_normal.jpg</v>
      </c>
      <c r="H66" s="60"/>
      <c r="I66" s="64" t="str">
        <f>Vertices[[#This Row],[Vertex]]</f>
        <v>dlarsono</v>
      </c>
      <c r="J66" s="65"/>
      <c r="K66" s="65"/>
      <c r="L66" s="64"/>
      <c r="M66" s="68"/>
      <c r="N66" s="69">
        <v>3321.33447265625</v>
      </c>
      <c r="O66" s="69">
        <v>7142.54638671875</v>
      </c>
      <c r="P66" s="70"/>
      <c r="Q66" s="71"/>
      <c r="R66" s="71"/>
      <c r="S66" s="78"/>
      <c r="T66" s="44">
        <v>1</v>
      </c>
      <c r="U66" s="44">
        <v>3</v>
      </c>
      <c r="V66" s="45">
        <v>304</v>
      </c>
      <c r="W66" s="45">
        <v>0.120816</v>
      </c>
      <c r="X66" s="45">
        <v>0.00162</v>
      </c>
      <c r="Y66" s="45">
        <v>0.004117</v>
      </c>
      <c r="Z66" s="45">
        <v>0</v>
      </c>
      <c r="AA66" s="45">
        <v>0</v>
      </c>
      <c r="AB66" s="66">
        <v>66</v>
      </c>
      <c r="AC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6" s="67"/>
      <c r="AE66" t="s">
        <v>1562</v>
      </c>
      <c r="AF66" s="74" t="s">
        <v>1410</v>
      </c>
      <c r="AG66">
        <v>30</v>
      </c>
      <c r="AH66">
        <v>161</v>
      </c>
      <c r="AI66">
        <v>224</v>
      </c>
      <c r="AJ66">
        <v>0</v>
      </c>
      <c r="AK66">
        <v>32</v>
      </c>
      <c r="AL66">
        <v>15</v>
      </c>
      <c r="AM66" t="b">
        <v>0</v>
      </c>
      <c r="AN66" s="73">
        <v>44386.479409722226</v>
      </c>
      <c r="AP66" t="s">
        <v>2046</v>
      </c>
      <c r="AY66" t="b">
        <v>0</v>
      </c>
      <c r="BB66" t="b">
        <v>0</v>
      </c>
      <c r="BC66" t="b">
        <v>1</v>
      </c>
      <c r="BD66" t="b">
        <v>1</v>
      </c>
      <c r="BE66" t="b">
        <v>0</v>
      </c>
      <c r="BF66" t="b">
        <v>0</v>
      </c>
      <c r="BG66" t="b">
        <v>0</v>
      </c>
      <c r="BH66" t="b">
        <v>0</v>
      </c>
      <c r="BK66" t="s">
        <v>2343</v>
      </c>
      <c r="BL66" t="b">
        <v>0</v>
      </c>
      <c r="BN66" t="s">
        <v>66</v>
      </c>
      <c r="BO66" t="s">
        <v>2345</v>
      </c>
      <c r="BP66" s="76" t="str">
        <f>HYPERLINK("https://twitter.com/dlarsono")</f>
        <v>https://twitter.com/dlarsono</v>
      </c>
      <c r="BQ66" s="44"/>
      <c r="BR66" s="44"/>
      <c r="BS66" s="44"/>
      <c r="BT66" s="44"/>
      <c r="BU66" s="44"/>
      <c r="BV66" s="44"/>
      <c r="BW66" s="95" t="s">
        <v>11420</v>
      </c>
      <c r="BX66" s="95" t="s">
        <v>2435</v>
      </c>
      <c r="BY66" s="95" t="s">
        <v>2495</v>
      </c>
      <c r="BZ66" s="95" t="s">
        <v>2577</v>
      </c>
      <c r="CA66" s="95">
        <v>7</v>
      </c>
      <c r="CB66" s="98">
        <v>33.333333333333336</v>
      </c>
      <c r="CC66" s="95">
        <v>0</v>
      </c>
      <c r="CD66" s="98">
        <v>0</v>
      </c>
      <c r="CE66" s="95">
        <v>0</v>
      </c>
      <c r="CF66" s="98">
        <v>0</v>
      </c>
      <c r="CG66" s="95">
        <v>13</v>
      </c>
      <c r="CH66" s="98">
        <v>61.904761904761905</v>
      </c>
      <c r="CI66" s="95">
        <v>21</v>
      </c>
      <c r="CJ66" s="116" t="str">
        <f>REPLACE(INDEX(GroupVertices[Group],MATCH("~"&amp;Vertices[[#This Row],[Vertex]],GroupVertices[Vertex],0)),1,1,"")</f>
        <v>4</v>
      </c>
      <c r="CK66" s="95"/>
      <c r="CL66" s="95"/>
      <c r="CM66" s="95"/>
      <c r="CN66" s="95"/>
      <c r="CO66" s="2"/>
    </row>
    <row r="67" spans="1:93" ht="41.45" customHeight="1">
      <c r="A67" s="59" t="s">
        <v>385</v>
      </c>
      <c r="C67" s="60"/>
      <c r="D67" s="60" t="s">
        <v>64</v>
      </c>
      <c r="E67" s="61">
        <v>1.5</v>
      </c>
      <c r="F67" s="63"/>
      <c r="G67" s="92" t="str">
        <f>HYPERLINK("https://pbs.twimg.com/profile_images/1610591708/photo_normal.jpg")</f>
        <v>https://pbs.twimg.com/profile_images/1610591708/photo_normal.jpg</v>
      </c>
      <c r="H67" s="60"/>
      <c r="I67" s="64" t="str">
        <f>Vertices[[#This Row],[Vertex]]</f>
        <v>tifsembiring</v>
      </c>
      <c r="J67" s="65"/>
      <c r="K67" s="65"/>
      <c r="L67" s="64"/>
      <c r="M67" s="68"/>
      <c r="N67" s="69">
        <v>5631.12451171875</v>
      </c>
      <c r="O67" s="69">
        <v>2373.969482421875</v>
      </c>
      <c r="P67" s="70"/>
      <c r="Q67" s="71"/>
      <c r="R67" s="71"/>
      <c r="S67" s="78"/>
      <c r="T67" s="44">
        <v>1</v>
      </c>
      <c r="U67" s="44">
        <v>0</v>
      </c>
      <c r="V67" s="45">
        <v>0</v>
      </c>
      <c r="W67" s="45">
        <v>0.120335</v>
      </c>
      <c r="X67" s="45">
        <v>0.00285</v>
      </c>
      <c r="Y67" s="45">
        <v>0.003373</v>
      </c>
      <c r="Z67" s="45">
        <v>0</v>
      </c>
      <c r="AA67" s="45">
        <v>0</v>
      </c>
      <c r="AB67" s="66">
        <v>67</v>
      </c>
      <c r="AC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7" s="67"/>
      <c r="AE67" t="s">
        <v>1634</v>
      </c>
      <c r="AF67" s="74" t="s">
        <v>1831</v>
      </c>
      <c r="AG67">
        <v>1690122</v>
      </c>
      <c r="AH67">
        <v>1978</v>
      </c>
      <c r="AI67">
        <v>43037</v>
      </c>
      <c r="AJ67">
        <v>2449</v>
      </c>
      <c r="AK67">
        <v>1099</v>
      </c>
      <c r="AL67">
        <v>2351</v>
      </c>
      <c r="AM67" t="b">
        <v>0</v>
      </c>
      <c r="AN67" s="73">
        <v>40106.655439814815</v>
      </c>
      <c r="AO67" t="s">
        <v>996</v>
      </c>
      <c r="AP67" t="s">
        <v>2107</v>
      </c>
      <c r="AQ67" s="76" t="str">
        <f>HYPERLINK("https://t.co/6dcPjQzrDa")</f>
        <v>https://t.co/6dcPjQzrDa</v>
      </c>
      <c r="AR67" s="76" t="str">
        <f>HYPERLINK("http://www.facebook.com/tifatul.sembiring")</f>
        <v>http://www.facebook.com/tifatul.sembiring</v>
      </c>
      <c r="AS67" t="s">
        <v>2285</v>
      </c>
      <c r="AX67" s="76" t="str">
        <f>HYPERLINK("https://t.co/6dcPjQzrDa")</f>
        <v>https://t.co/6dcPjQzrDa</v>
      </c>
      <c r="AY67" t="b">
        <v>1</v>
      </c>
      <c r="BB67" t="b">
        <v>0</v>
      </c>
      <c r="BC67" t="b">
        <v>0</v>
      </c>
      <c r="BD67" t="b">
        <v>0</v>
      </c>
      <c r="BE67" t="b">
        <v>0</v>
      </c>
      <c r="BF67" t="b">
        <v>0</v>
      </c>
      <c r="BG67" t="b">
        <v>0</v>
      </c>
      <c r="BH67" t="b">
        <v>0</v>
      </c>
      <c r="BI67" s="76" t="str">
        <f>HYPERLINK("https://pbs.twimg.com/profile_banners/83867535/1406820131")</f>
        <v>https://pbs.twimg.com/profile_banners/83867535/1406820131</v>
      </c>
      <c r="BK67" t="s">
        <v>2344</v>
      </c>
      <c r="BL67" t="b">
        <v>0</v>
      </c>
      <c r="BN67" t="s">
        <v>65</v>
      </c>
      <c r="BO67" t="s">
        <v>2345</v>
      </c>
      <c r="BP67" s="76" t="str">
        <f>HYPERLINK("https://twitter.com/tifsembiring")</f>
        <v>https://twitter.com/tifsembiring</v>
      </c>
      <c r="BQ67" s="44"/>
      <c r="BR67" s="44"/>
      <c r="BS67" s="44"/>
      <c r="BT67" s="44"/>
      <c r="BU67" s="44"/>
      <c r="BV67" s="44"/>
      <c r="BW67" s="44"/>
      <c r="BX67" s="44"/>
      <c r="BY67" s="44"/>
      <c r="BZ67" s="44"/>
      <c r="CA67" s="44"/>
      <c r="CB67" s="45"/>
      <c r="CC67" s="44"/>
      <c r="CD67" s="45"/>
      <c r="CE67" s="44"/>
      <c r="CF67" s="45"/>
      <c r="CG67" s="44"/>
      <c r="CH67" s="45"/>
      <c r="CI67" s="44"/>
      <c r="CJ67" s="112" t="str">
        <f>REPLACE(INDEX(GroupVertices[Group],MATCH("~"&amp;Vertices[[#This Row],[Vertex]],GroupVertices[Vertex],0)),1,1,"")</f>
        <v>10</v>
      </c>
      <c r="CK67" s="44"/>
      <c r="CL67" s="44"/>
      <c r="CM67" s="44"/>
      <c r="CN67" s="44"/>
      <c r="CO67" s="2"/>
    </row>
    <row r="68" spans="1:93" ht="41.45" customHeight="1">
      <c r="A68" s="59" t="s">
        <v>384</v>
      </c>
      <c r="C68" s="60"/>
      <c r="D68" s="60" t="s">
        <v>64</v>
      </c>
      <c r="E68" s="61">
        <v>1.5</v>
      </c>
      <c r="F68" s="63"/>
      <c r="G68" s="92" t="str">
        <f>HYPERLINK("https://pbs.twimg.com/profile_images/1026752877996306433/4KDUOG8N_normal.jpg")</f>
        <v>https://pbs.twimg.com/profile_images/1026752877996306433/4KDUOG8N_normal.jpg</v>
      </c>
      <c r="H68" s="60"/>
      <c r="I68" s="64" t="str">
        <f>Vertices[[#This Row],[Vertex]]</f>
        <v>aheryawan</v>
      </c>
      <c r="J68" s="65"/>
      <c r="K68" s="65"/>
      <c r="L68" s="64"/>
      <c r="M68" s="68"/>
      <c r="N68" s="69">
        <v>5901.51416015625</v>
      </c>
      <c r="O68" s="69">
        <v>675.6101684570312</v>
      </c>
      <c r="P68" s="70"/>
      <c r="Q68" s="71"/>
      <c r="R68" s="71"/>
      <c r="S68" s="78"/>
      <c r="T68" s="44">
        <v>1</v>
      </c>
      <c r="U68" s="44">
        <v>0</v>
      </c>
      <c r="V68" s="45">
        <v>0</v>
      </c>
      <c r="W68" s="45">
        <v>0.120335</v>
      </c>
      <c r="X68" s="45">
        <v>0.00285</v>
      </c>
      <c r="Y68" s="45">
        <v>0.003373</v>
      </c>
      <c r="Z68" s="45">
        <v>0</v>
      </c>
      <c r="AA68" s="45">
        <v>0</v>
      </c>
      <c r="AB68" s="66">
        <v>68</v>
      </c>
      <c r="AC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8" s="67"/>
      <c r="AE68" t="s">
        <v>1633</v>
      </c>
      <c r="AF68" s="74" t="s">
        <v>1830</v>
      </c>
      <c r="AG68">
        <v>810505</v>
      </c>
      <c r="AH68">
        <v>889</v>
      </c>
      <c r="AI68">
        <v>24323</v>
      </c>
      <c r="AJ68">
        <v>325</v>
      </c>
      <c r="AK68">
        <v>2111</v>
      </c>
      <c r="AL68">
        <v>1329</v>
      </c>
      <c r="AM68" t="b">
        <v>0</v>
      </c>
      <c r="AN68" s="73">
        <v>40418.0284837963</v>
      </c>
      <c r="AO68" t="s">
        <v>1963</v>
      </c>
      <c r="AP68" t="s">
        <v>2106</v>
      </c>
      <c r="AY68" t="b">
        <v>0</v>
      </c>
      <c r="BB68" t="b">
        <v>0</v>
      </c>
      <c r="BC68" t="b">
        <v>1</v>
      </c>
      <c r="BD68" t="b">
        <v>0</v>
      </c>
      <c r="BE68" t="b">
        <v>0</v>
      </c>
      <c r="BF68" t="b">
        <v>1</v>
      </c>
      <c r="BG68" t="b">
        <v>0</v>
      </c>
      <c r="BH68" t="b">
        <v>0</v>
      </c>
      <c r="BI68" s="76" t="str">
        <f>HYPERLINK("https://pbs.twimg.com/profile_banners/183832491/1399198422")</f>
        <v>https://pbs.twimg.com/profile_banners/183832491/1399198422</v>
      </c>
      <c r="BK68" t="s">
        <v>2343</v>
      </c>
      <c r="BL68" t="b">
        <v>0</v>
      </c>
      <c r="BN68" t="s">
        <v>65</v>
      </c>
      <c r="BO68" t="s">
        <v>2345</v>
      </c>
      <c r="BP68" s="76" t="str">
        <f>HYPERLINK("https://twitter.com/aheryawan")</f>
        <v>https://twitter.com/aheryawan</v>
      </c>
      <c r="BQ68" s="44"/>
      <c r="BR68" s="44"/>
      <c r="BS68" s="44"/>
      <c r="BT68" s="44"/>
      <c r="BU68" s="44"/>
      <c r="BV68" s="44"/>
      <c r="BW68" s="44"/>
      <c r="BX68" s="44"/>
      <c r="BY68" s="44"/>
      <c r="BZ68" s="44"/>
      <c r="CA68" s="44"/>
      <c r="CB68" s="45"/>
      <c r="CC68" s="44"/>
      <c r="CD68" s="45"/>
      <c r="CE68" s="44"/>
      <c r="CF68" s="45"/>
      <c r="CG68" s="44"/>
      <c r="CH68" s="45"/>
      <c r="CI68" s="44"/>
      <c r="CJ68" s="112" t="str">
        <f>REPLACE(INDEX(GroupVertices[Group],MATCH("~"&amp;Vertices[[#This Row],[Vertex]],GroupVertices[Vertex],0)),1,1,"")</f>
        <v>10</v>
      </c>
      <c r="CK68" s="44"/>
      <c r="CL68" s="44"/>
      <c r="CM68" s="44"/>
      <c r="CN68" s="44"/>
      <c r="CO68" s="2"/>
    </row>
    <row r="69" spans="1:93" ht="41.45" customHeight="1">
      <c r="A69" s="59" t="s">
        <v>386</v>
      </c>
      <c r="C69" s="60"/>
      <c r="D69" s="60" t="s">
        <v>64</v>
      </c>
      <c r="E69" s="61">
        <v>1.5</v>
      </c>
      <c r="F69" s="63"/>
      <c r="G69" s="92" t="str">
        <f>HYPERLINK("https://pbs.twimg.com/profile_images/1711401739386245120/C0zHl060_normal.jpg")</f>
        <v>https://pbs.twimg.com/profile_images/1711401739386245120/C0zHl060_normal.jpg</v>
      </c>
      <c r="H69" s="60"/>
      <c r="I69" s="64" t="str">
        <f>Vertices[[#This Row],[Vertex]]</f>
        <v>giginpraginanto</v>
      </c>
      <c r="J69" s="65"/>
      <c r="K69" s="65"/>
      <c r="L69" s="64"/>
      <c r="M69" s="68"/>
      <c r="N69" s="69">
        <v>5641.9150390625</v>
      </c>
      <c r="O69" s="69">
        <v>1366.002685546875</v>
      </c>
      <c r="P69" s="70"/>
      <c r="Q69" s="71"/>
      <c r="R69" s="71"/>
      <c r="S69" s="78"/>
      <c r="T69" s="44">
        <v>1</v>
      </c>
      <c r="U69" s="44">
        <v>0</v>
      </c>
      <c r="V69" s="45">
        <v>0</v>
      </c>
      <c r="W69" s="45">
        <v>0.120335</v>
      </c>
      <c r="X69" s="45">
        <v>0.00285</v>
      </c>
      <c r="Y69" s="45">
        <v>0.003373</v>
      </c>
      <c r="Z69" s="45">
        <v>0</v>
      </c>
      <c r="AA69" s="45">
        <v>0</v>
      </c>
      <c r="AB69" s="66">
        <v>69</v>
      </c>
      <c r="AC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9" s="67"/>
      <c r="AE69" t="s">
        <v>1635</v>
      </c>
      <c r="AF69" s="74" t="s">
        <v>1351</v>
      </c>
      <c r="AG69">
        <v>10926</v>
      </c>
      <c r="AH69">
        <v>5087</v>
      </c>
      <c r="AI69">
        <v>8452</v>
      </c>
      <c r="AJ69">
        <v>4</v>
      </c>
      <c r="AK69">
        <v>2128</v>
      </c>
      <c r="AL69">
        <v>833</v>
      </c>
      <c r="AM69" t="b">
        <v>0</v>
      </c>
      <c r="AN69" s="73">
        <v>40673.4175</v>
      </c>
      <c r="AP69" t="s">
        <v>2108</v>
      </c>
      <c r="AY69" t="b">
        <v>0</v>
      </c>
      <c r="BB69" t="b">
        <v>0</v>
      </c>
      <c r="BC69" t="b">
        <v>1</v>
      </c>
      <c r="BD69" t="b">
        <v>1</v>
      </c>
      <c r="BE69" t="b">
        <v>0</v>
      </c>
      <c r="BF69" t="b">
        <v>0</v>
      </c>
      <c r="BG69" t="b">
        <v>0</v>
      </c>
      <c r="BH69" t="b">
        <v>0</v>
      </c>
      <c r="BK69" t="s">
        <v>2343</v>
      </c>
      <c r="BL69" t="b">
        <v>0</v>
      </c>
      <c r="BN69" t="s">
        <v>65</v>
      </c>
      <c r="BO69" t="s">
        <v>2345</v>
      </c>
      <c r="BP69" s="76" t="str">
        <f>HYPERLINK("https://twitter.com/giginpraginanto")</f>
        <v>https://twitter.com/giginpraginanto</v>
      </c>
      <c r="BQ69" s="44"/>
      <c r="BR69" s="44"/>
      <c r="BS69" s="44"/>
      <c r="BT69" s="44"/>
      <c r="BU69" s="44"/>
      <c r="BV69" s="44"/>
      <c r="BW69" s="44"/>
      <c r="BX69" s="44"/>
      <c r="BY69" s="44"/>
      <c r="BZ69" s="44"/>
      <c r="CA69" s="44"/>
      <c r="CB69" s="45"/>
      <c r="CC69" s="44"/>
      <c r="CD69" s="45"/>
      <c r="CE69" s="44"/>
      <c r="CF69" s="45"/>
      <c r="CG69" s="44"/>
      <c r="CH69" s="45"/>
      <c r="CI69" s="44"/>
      <c r="CJ69" s="112" t="str">
        <f>REPLACE(INDEX(GroupVertices[Group],MATCH("~"&amp;Vertices[[#This Row],[Vertex]],GroupVertices[Vertex],0)),1,1,"")</f>
        <v>10</v>
      </c>
      <c r="CK69" s="44"/>
      <c r="CL69" s="44"/>
      <c r="CM69" s="44"/>
      <c r="CN69" s="44"/>
      <c r="CO69" s="2"/>
    </row>
    <row r="70" spans="1:93" ht="41.45" customHeight="1">
      <c r="A70" s="59" t="s">
        <v>396</v>
      </c>
      <c r="C70" s="60"/>
      <c r="D70" s="60" t="s">
        <v>64</v>
      </c>
      <c r="E70" s="61">
        <v>1.5</v>
      </c>
      <c r="F70" s="63"/>
      <c r="G70" s="92" t="str">
        <f>HYPERLINK("https://pbs.twimg.com/profile_images/1473496545349693442/7GGs2M4-_normal.jpg")</f>
        <v>https://pbs.twimg.com/profile_images/1473496545349693442/7GGs2M4-_normal.jpg</v>
      </c>
      <c r="H70" s="60"/>
      <c r="I70" s="64" t="str">
        <f>Vertices[[#This Row],[Vertex]]</f>
        <v>marlina_idha</v>
      </c>
      <c r="J70" s="65"/>
      <c r="K70" s="65"/>
      <c r="L70" s="64"/>
      <c r="M70" s="68"/>
      <c r="N70" s="69">
        <v>4235.806640625</v>
      </c>
      <c r="O70" s="69">
        <v>2154.06298828125</v>
      </c>
      <c r="P70" s="70"/>
      <c r="Q70" s="71"/>
      <c r="R70" s="71"/>
      <c r="S70" s="78"/>
      <c r="T70" s="44">
        <v>1</v>
      </c>
      <c r="U70" s="44">
        <v>0</v>
      </c>
      <c r="V70" s="45">
        <v>0</v>
      </c>
      <c r="W70" s="45">
        <v>0.120176</v>
      </c>
      <c r="X70" s="45">
        <v>0.000679</v>
      </c>
      <c r="Y70" s="45">
        <v>0.003413</v>
      </c>
      <c r="Z70" s="45">
        <v>0</v>
      </c>
      <c r="AA70" s="45">
        <v>0</v>
      </c>
      <c r="AB70" s="66">
        <v>70</v>
      </c>
      <c r="AC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0" s="67"/>
      <c r="AE70" t="s">
        <v>1650</v>
      </c>
      <c r="AF70" s="74" t="s">
        <v>1841</v>
      </c>
      <c r="AG70">
        <v>143699</v>
      </c>
      <c r="AH70">
        <v>2705</v>
      </c>
      <c r="AI70">
        <v>47768</v>
      </c>
      <c r="AJ70">
        <v>28</v>
      </c>
      <c r="AK70">
        <v>312207</v>
      </c>
      <c r="AL70">
        <v>4050</v>
      </c>
      <c r="AM70" t="b">
        <v>0</v>
      </c>
      <c r="AN70" s="73">
        <v>42472.136655092596</v>
      </c>
      <c r="AO70" t="s">
        <v>1942</v>
      </c>
      <c r="AP70" t="s">
        <v>2123</v>
      </c>
      <c r="AW70">
        <v>1.29771874530607E+18</v>
      </c>
      <c r="AY70" t="b">
        <v>1</v>
      </c>
      <c r="BB70" t="b">
        <v>1</v>
      </c>
      <c r="BC70" t="b">
        <v>0</v>
      </c>
      <c r="BD70" t="b">
        <v>1</v>
      </c>
      <c r="BE70" t="b">
        <v>0</v>
      </c>
      <c r="BF70" t="b">
        <v>1</v>
      </c>
      <c r="BG70" t="b">
        <v>0</v>
      </c>
      <c r="BH70" t="b">
        <v>0</v>
      </c>
      <c r="BI70" s="76" t="str">
        <f>HYPERLINK("https://pbs.twimg.com/profile_banners/719725925215170561/1606804019")</f>
        <v>https://pbs.twimg.com/profile_banners/719725925215170561/1606804019</v>
      </c>
      <c r="BK70" t="s">
        <v>2343</v>
      </c>
      <c r="BL70" t="b">
        <v>0</v>
      </c>
      <c r="BN70" t="s">
        <v>65</v>
      </c>
      <c r="BO70" t="s">
        <v>2345</v>
      </c>
      <c r="BP70" s="76" t="str">
        <f>HYPERLINK("https://twitter.com/marlina_idha")</f>
        <v>https://twitter.com/marlina_idha</v>
      </c>
      <c r="BQ70" s="44"/>
      <c r="BR70" s="44"/>
      <c r="BS70" s="44"/>
      <c r="BT70" s="44"/>
      <c r="BU70" s="44"/>
      <c r="BV70" s="44"/>
      <c r="BW70" s="44"/>
      <c r="BX70" s="44"/>
      <c r="BY70" s="44"/>
      <c r="BZ70" s="44"/>
      <c r="CA70" s="44"/>
      <c r="CB70" s="45"/>
      <c r="CC70" s="44"/>
      <c r="CD70" s="45"/>
      <c r="CE70" s="44"/>
      <c r="CF70" s="45"/>
      <c r="CG70" s="44"/>
      <c r="CH70" s="45"/>
      <c r="CI70" s="44"/>
      <c r="CJ70" s="112" t="str">
        <f>REPLACE(INDEX(GroupVertices[Group],MATCH("~"&amp;Vertices[[#This Row],[Vertex]],GroupVertices[Vertex],0)),1,1,"")</f>
        <v>8</v>
      </c>
      <c r="CK70" s="44"/>
      <c r="CL70" s="44"/>
      <c r="CM70" s="44"/>
      <c r="CN70" s="44"/>
      <c r="CO70" s="2"/>
    </row>
    <row r="71" spans="1:93" ht="41.45" customHeight="1">
      <c r="A71" s="59" t="s">
        <v>398</v>
      </c>
      <c r="C71" s="125"/>
      <c r="D71" s="60" t="s">
        <v>64</v>
      </c>
      <c r="E71" s="129">
        <v>1.5</v>
      </c>
      <c r="F71" s="124"/>
      <c r="G71" s="92" t="str">
        <f>HYPERLINK("https://pbs.twimg.com/profile_images/1589159009457963010/T-srcI6L_normal.jpg")</f>
        <v>https://pbs.twimg.com/profile_images/1589159009457963010/T-srcI6L_normal.jpg</v>
      </c>
      <c r="H71" s="125"/>
      <c r="I71" s="64" t="str">
        <f>Vertices[[#This Row],[Vertex]]</f>
        <v>dta_pntra</v>
      </c>
      <c r="J71" s="126"/>
      <c r="K71" s="126"/>
      <c r="L71" s="130"/>
      <c r="M71" s="127"/>
      <c r="N71" s="131">
        <v>3961.058349609375</v>
      </c>
      <c r="O71" s="131">
        <v>3041.600830078125</v>
      </c>
      <c r="P71" s="132"/>
      <c r="Q71" s="133"/>
      <c r="R71" s="133"/>
      <c r="S71" s="134"/>
      <c r="T71" s="44">
        <v>1</v>
      </c>
      <c r="U71" s="44">
        <v>0</v>
      </c>
      <c r="V71" s="45">
        <v>0</v>
      </c>
      <c r="W71" s="45">
        <v>0.120176</v>
      </c>
      <c r="X71" s="45">
        <v>0.000679</v>
      </c>
      <c r="Y71" s="45">
        <v>0.003413</v>
      </c>
      <c r="Z71" s="45">
        <v>0</v>
      </c>
      <c r="AA71" s="45">
        <v>0</v>
      </c>
      <c r="AB71" s="135">
        <v>71</v>
      </c>
      <c r="AC7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1" s="67"/>
      <c r="AE71" t="s">
        <v>1651</v>
      </c>
      <c r="AF71" s="74" t="s">
        <v>1356</v>
      </c>
      <c r="AG71">
        <v>6</v>
      </c>
      <c r="AH71">
        <v>60</v>
      </c>
      <c r="AI71">
        <v>34</v>
      </c>
      <c r="AJ71">
        <v>0</v>
      </c>
      <c r="AK71">
        <v>45</v>
      </c>
      <c r="AL71">
        <v>0</v>
      </c>
      <c r="AM71" t="b">
        <v>0</v>
      </c>
      <c r="AN71" s="73">
        <v>44016.33005787037</v>
      </c>
      <c r="AO71" t="s">
        <v>1969</v>
      </c>
      <c r="AP71" t="s">
        <v>2124</v>
      </c>
      <c r="AW71">
        <v>1.40393445773262E+18</v>
      </c>
      <c r="AY71" t="b">
        <v>0</v>
      </c>
      <c r="BB71" t="b">
        <v>0</v>
      </c>
      <c r="BC71" t="b">
        <v>0</v>
      </c>
      <c r="BD71" t="b">
        <v>1</v>
      </c>
      <c r="BE71" t="b">
        <v>0</v>
      </c>
      <c r="BF71" t="b">
        <v>0</v>
      </c>
      <c r="BG71" t="b">
        <v>0</v>
      </c>
      <c r="BH71" t="b">
        <v>0</v>
      </c>
      <c r="BK71" t="s">
        <v>2343</v>
      </c>
      <c r="BL71" t="b">
        <v>0</v>
      </c>
      <c r="BN71" t="s">
        <v>65</v>
      </c>
      <c r="BO71" t="s">
        <v>2345</v>
      </c>
      <c r="BP71" s="76" t="str">
        <f>HYPERLINK("https://twitter.com/dta_pntra")</f>
        <v>https://twitter.com/dta_pntra</v>
      </c>
      <c r="BQ71" s="44"/>
      <c r="BR71" s="44"/>
      <c r="BS71" s="44"/>
      <c r="BT71" s="44"/>
      <c r="BU71" s="44"/>
      <c r="BV71" s="44"/>
      <c r="BW71" s="44"/>
      <c r="BX71" s="44"/>
      <c r="BY71" s="44"/>
      <c r="BZ71" s="44"/>
      <c r="CA71" s="44"/>
      <c r="CB71" s="45"/>
      <c r="CC71" s="44"/>
      <c r="CD71" s="45"/>
      <c r="CE71" s="44"/>
      <c r="CF71" s="45"/>
      <c r="CG71" s="44"/>
      <c r="CH71" s="45"/>
      <c r="CI71" s="44"/>
      <c r="CJ71" s="112" t="str">
        <f>REPLACE(INDEX(GroupVertices[Group],MATCH("~"&amp;Vertices[[#This Row],[Vertex]],GroupVertices[Vertex],0)),1,1,"")</f>
        <v>8</v>
      </c>
      <c r="CK71" s="44"/>
      <c r="CL71" s="44"/>
      <c r="CM71" s="44"/>
      <c r="CN71" s="44"/>
      <c r="CO71" s="2"/>
    </row>
    <row r="72" spans="1:93" ht="41.45" customHeight="1">
      <c r="A72" s="59" t="s">
        <v>397</v>
      </c>
      <c r="C72" s="60"/>
      <c r="D72" s="60" t="s">
        <v>64</v>
      </c>
      <c r="E72" s="61">
        <v>1.5</v>
      </c>
      <c r="F72" s="63"/>
      <c r="G72" s="92" t="str">
        <f>HYPERLINK("https://pbs.twimg.com/profile_images/910373861732098048/bAG2Z36P_normal.jpg")</f>
        <v>https://pbs.twimg.com/profile_images/910373861732098048/bAG2Z36P_normal.jpg</v>
      </c>
      <c r="H72" s="60"/>
      <c r="I72" s="64" t="str">
        <f>Vertices[[#This Row],[Vertex]]</f>
        <v>z3n7h03n7</v>
      </c>
      <c r="J72" s="65"/>
      <c r="K72" s="65"/>
      <c r="L72" s="64"/>
      <c r="M72" s="68"/>
      <c r="N72" s="69">
        <v>4377.2822265625</v>
      </c>
      <c r="O72" s="69">
        <v>4320.259765625</v>
      </c>
      <c r="P72" s="70"/>
      <c r="Q72" s="71"/>
      <c r="R72" s="71"/>
      <c r="S72" s="78"/>
      <c r="T72" s="44">
        <v>1</v>
      </c>
      <c r="U72" s="44">
        <v>0</v>
      </c>
      <c r="V72" s="45">
        <v>0</v>
      </c>
      <c r="W72" s="45">
        <v>0.120176</v>
      </c>
      <c r="X72" s="45">
        <v>0.000679</v>
      </c>
      <c r="Y72" s="45">
        <v>0.003413</v>
      </c>
      <c r="Z72" s="45">
        <v>0</v>
      </c>
      <c r="AA72" s="45">
        <v>0</v>
      </c>
      <c r="AB72" s="66">
        <v>72</v>
      </c>
      <c r="AC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2" s="67"/>
      <c r="AE72" t="s">
        <v>397</v>
      </c>
      <c r="AF72" s="74" t="s">
        <v>1355</v>
      </c>
      <c r="AG72">
        <v>6</v>
      </c>
      <c r="AH72">
        <v>53</v>
      </c>
      <c r="AI72">
        <v>2778</v>
      </c>
      <c r="AJ72">
        <v>0</v>
      </c>
      <c r="AK72">
        <v>40</v>
      </c>
      <c r="AL72">
        <v>50</v>
      </c>
      <c r="AM72" t="b">
        <v>0</v>
      </c>
      <c r="AN72" s="73">
        <v>42994.75304398148</v>
      </c>
      <c r="AY72" t="b">
        <v>0</v>
      </c>
      <c r="BB72" t="b">
        <v>0</v>
      </c>
      <c r="BC72" t="b">
        <v>1</v>
      </c>
      <c r="BD72" t="b">
        <v>1</v>
      </c>
      <c r="BE72" t="b">
        <v>0</v>
      </c>
      <c r="BF72" t="b">
        <v>1</v>
      </c>
      <c r="BG72" t="b">
        <v>0</v>
      </c>
      <c r="BH72" t="b">
        <v>0</v>
      </c>
      <c r="BI72" s="76" t="str">
        <f>HYPERLINK("https://pbs.twimg.com/profile_banners/909115761922150400/1505885519")</f>
        <v>https://pbs.twimg.com/profile_banners/909115761922150400/1505885519</v>
      </c>
      <c r="BK72" t="s">
        <v>2343</v>
      </c>
      <c r="BL72" t="b">
        <v>0</v>
      </c>
      <c r="BN72" t="s">
        <v>65</v>
      </c>
      <c r="BO72" t="s">
        <v>2345</v>
      </c>
      <c r="BP72" s="76" t="str">
        <f>HYPERLINK("https://twitter.com/z3n7h03n7")</f>
        <v>https://twitter.com/z3n7h03n7</v>
      </c>
      <c r="BQ72" s="44"/>
      <c r="BR72" s="44"/>
      <c r="BS72" s="44"/>
      <c r="BT72" s="44"/>
      <c r="BU72" s="44"/>
      <c r="BV72" s="44"/>
      <c r="BW72" s="44"/>
      <c r="BX72" s="44"/>
      <c r="BY72" s="44"/>
      <c r="BZ72" s="44"/>
      <c r="CA72" s="44"/>
      <c r="CB72" s="45"/>
      <c r="CC72" s="44"/>
      <c r="CD72" s="45"/>
      <c r="CE72" s="44"/>
      <c r="CF72" s="45"/>
      <c r="CG72" s="44"/>
      <c r="CH72" s="45"/>
      <c r="CI72" s="44"/>
      <c r="CJ72" s="112" t="str">
        <f>REPLACE(INDEX(GroupVertices[Group],MATCH("~"&amp;Vertices[[#This Row],[Vertex]],GroupVertices[Vertex],0)),1,1,"")</f>
        <v>8</v>
      </c>
      <c r="CK72" s="44"/>
      <c r="CL72" s="44"/>
      <c r="CM72" s="44"/>
      <c r="CN72" s="44"/>
      <c r="CO72" s="2"/>
    </row>
    <row r="73" spans="1:93" ht="41.45" customHeight="1">
      <c r="A73" s="59" t="s">
        <v>259</v>
      </c>
      <c r="C73" s="60"/>
      <c r="D73" s="60" t="s">
        <v>64</v>
      </c>
      <c r="E73" s="61">
        <v>1.5</v>
      </c>
      <c r="F73" s="63"/>
      <c r="G73" s="92" t="str">
        <f>HYPERLINK("https://pbs.twimg.com/profile_images/1375206509416615937/HTd9lUJP_normal.jpg")</f>
        <v>https://pbs.twimg.com/profile_images/1375206509416615937/HTd9lUJP_normal.jpg</v>
      </c>
      <c r="H73" s="60"/>
      <c r="I73" s="64" t="str">
        <f>Vertices[[#This Row],[Vertex]]</f>
        <v>ardchun</v>
      </c>
      <c r="J73" s="65"/>
      <c r="K73" s="65"/>
      <c r="L73" s="64"/>
      <c r="M73" s="68"/>
      <c r="N73" s="69">
        <v>7025.43212890625</v>
      </c>
      <c r="O73" s="69">
        <v>7504.44921875</v>
      </c>
      <c r="P73" s="70"/>
      <c r="Q73" s="71"/>
      <c r="R73" s="71"/>
      <c r="S73" s="78"/>
      <c r="T73" s="44">
        <v>1</v>
      </c>
      <c r="U73" s="44">
        <v>5</v>
      </c>
      <c r="V73" s="45">
        <v>558.268002</v>
      </c>
      <c r="W73" s="45">
        <v>0.117834</v>
      </c>
      <c r="X73" s="45">
        <v>0.007309</v>
      </c>
      <c r="Y73" s="45">
        <v>0.004398</v>
      </c>
      <c r="Z73" s="45">
        <v>0</v>
      </c>
      <c r="AA73" s="45">
        <v>0</v>
      </c>
      <c r="AB73" s="66">
        <v>73</v>
      </c>
      <c r="AC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3" s="67"/>
      <c r="AE73" t="s">
        <v>1617</v>
      </c>
      <c r="AF73" s="74" t="s">
        <v>1428</v>
      </c>
      <c r="AG73">
        <v>15</v>
      </c>
      <c r="AH73">
        <v>53</v>
      </c>
      <c r="AI73">
        <v>354</v>
      </c>
      <c r="AJ73">
        <v>0</v>
      </c>
      <c r="AK73">
        <v>198</v>
      </c>
      <c r="AL73">
        <v>24</v>
      </c>
      <c r="AM73" t="b">
        <v>0</v>
      </c>
      <c r="AN73" s="73">
        <v>44171.24928240741</v>
      </c>
      <c r="AP73" t="s">
        <v>2094</v>
      </c>
      <c r="AW73">
        <v>1.38375908800622E+18</v>
      </c>
      <c r="AY73" t="b">
        <v>0</v>
      </c>
      <c r="BB73" t="b">
        <v>0</v>
      </c>
      <c r="BC73" t="b">
        <v>1</v>
      </c>
      <c r="BD73" t="b">
        <v>1</v>
      </c>
      <c r="BE73" t="b">
        <v>0</v>
      </c>
      <c r="BF73" t="b">
        <v>0</v>
      </c>
      <c r="BG73" t="b">
        <v>0</v>
      </c>
      <c r="BH73" t="b">
        <v>0</v>
      </c>
      <c r="BK73" t="s">
        <v>2343</v>
      </c>
      <c r="BL73" t="b">
        <v>0</v>
      </c>
      <c r="BN73" t="s">
        <v>66</v>
      </c>
      <c r="BO73" t="s">
        <v>2345</v>
      </c>
      <c r="BP73" s="76" t="str">
        <f>HYPERLINK("https://twitter.com/ardchun")</f>
        <v>https://twitter.com/ardchun</v>
      </c>
      <c r="BQ73" s="44" t="s">
        <v>2355</v>
      </c>
      <c r="BR73" s="44" t="s">
        <v>2355</v>
      </c>
      <c r="BS73" s="44" t="s">
        <v>713</v>
      </c>
      <c r="BT73" s="44" t="s">
        <v>713</v>
      </c>
      <c r="BU73" s="44"/>
      <c r="BV73" s="44"/>
      <c r="BW73" s="95" t="s">
        <v>11421</v>
      </c>
      <c r="BX73" s="95" t="s">
        <v>11475</v>
      </c>
      <c r="BY73" s="95" t="s">
        <v>2517</v>
      </c>
      <c r="BZ73" s="95" t="s">
        <v>2583</v>
      </c>
      <c r="CA73" s="95">
        <v>16</v>
      </c>
      <c r="CB73" s="98">
        <v>72.72727272727273</v>
      </c>
      <c r="CC73" s="95">
        <v>0</v>
      </c>
      <c r="CD73" s="98">
        <v>0</v>
      </c>
      <c r="CE73" s="95">
        <v>0</v>
      </c>
      <c r="CF73" s="98">
        <v>0</v>
      </c>
      <c r="CG73" s="95">
        <v>6</v>
      </c>
      <c r="CH73" s="98">
        <v>27.272727272727273</v>
      </c>
      <c r="CI73" s="95">
        <v>22</v>
      </c>
      <c r="CJ73" s="116" t="str">
        <f>REPLACE(INDEX(GroupVertices[Group],MATCH("~"&amp;Vertices[[#This Row],[Vertex]],GroupVertices[Vertex],0)),1,1,"")</f>
        <v>13</v>
      </c>
      <c r="CK73" s="95" t="s">
        <v>2355</v>
      </c>
      <c r="CL73" s="95" t="s">
        <v>2355</v>
      </c>
      <c r="CM73" s="95"/>
      <c r="CN73" s="95"/>
      <c r="CO73" s="2"/>
    </row>
    <row r="74" spans="1:93" ht="41.45" customHeight="1">
      <c r="A74" s="59" t="s">
        <v>350</v>
      </c>
      <c r="C74" s="60"/>
      <c r="D74" s="60" t="s">
        <v>64</v>
      </c>
      <c r="E74" s="61">
        <v>1.5</v>
      </c>
      <c r="F74" s="63"/>
      <c r="G74" s="92" t="str">
        <f>HYPERLINK("https://pbs.twimg.com/profile_images/1430830041919721475/U7LgJ1pw_normal.jpg")</f>
        <v>https://pbs.twimg.com/profile_images/1430830041919721475/U7LgJ1pw_normal.jpg</v>
      </c>
      <c r="H74" s="60"/>
      <c r="I74" s="64" t="str">
        <f>Vertices[[#This Row],[Vertex]]</f>
        <v>kompastv</v>
      </c>
      <c r="J74" s="65"/>
      <c r="K74" s="65"/>
      <c r="L74" s="64"/>
      <c r="M74" s="68"/>
      <c r="N74" s="69">
        <v>4672.97900390625</v>
      </c>
      <c r="O74" s="69">
        <v>1738.15966796875</v>
      </c>
      <c r="P74" s="70"/>
      <c r="Q74" s="71"/>
      <c r="R74" s="71"/>
      <c r="S74" s="78"/>
      <c r="T74" s="44">
        <v>1</v>
      </c>
      <c r="U74" s="44">
        <v>0</v>
      </c>
      <c r="V74" s="45">
        <v>0</v>
      </c>
      <c r="W74" s="45">
        <v>0.114417</v>
      </c>
      <c r="X74" s="45">
        <v>0.001412</v>
      </c>
      <c r="Y74" s="45">
        <v>0.003404</v>
      </c>
      <c r="Z74" s="45">
        <v>0</v>
      </c>
      <c r="AA74" s="45">
        <v>0</v>
      </c>
      <c r="AB74" s="66">
        <v>74</v>
      </c>
      <c r="AC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4" s="67"/>
      <c r="AE74" t="s">
        <v>1544</v>
      </c>
      <c r="AF74" s="74" t="s">
        <v>1317</v>
      </c>
      <c r="AG74">
        <v>5248637</v>
      </c>
      <c r="AH74">
        <v>535</v>
      </c>
      <c r="AI74">
        <v>728705</v>
      </c>
      <c r="AJ74">
        <v>3058</v>
      </c>
      <c r="AK74">
        <v>6331</v>
      </c>
      <c r="AL74">
        <v>405453</v>
      </c>
      <c r="AM74" t="b">
        <v>0</v>
      </c>
      <c r="AN74" s="73">
        <v>40060.12237268518</v>
      </c>
      <c r="AO74" t="s">
        <v>996</v>
      </c>
      <c r="AP74" t="s">
        <v>2030</v>
      </c>
      <c r="AQ74" s="76" t="str">
        <f>HYPERLINK("https://t.co/u1HLSBKoeL")</f>
        <v>https://t.co/u1HLSBKoeL</v>
      </c>
      <c r="AR74" s="76" t="str">
        <f>HYPERLINK("https://www.kompas.tv/live")</f>
        <v>https://www.kompas.tv/live</v>
      </c>
      <c r="AS74" t="s">
        <v>2263</v>
      </c>
      <c r="AT74" t="s">
        <v>2326</v>
      </c>
      <c r="AU74" t="s">
        <v>2329</v>
      </c>
      <c r="AV74" t="s">
        <v>2333</v>
      </c>
      <c r="AX74" s="76" t="str">
        <f>HYPERLINK("https://t.co/u1HLSBKoeL")</f>
        <v>https://t.co/u1HLSBKoeL</v>
      </c>
      <c r="AY74" t="b">
        <v>1</v>
      </c>
      <c r="BB74" t="b">
        <v>0</v>
      </c>
      <c r="BC74" t="b">
        <v>0</v>
      </c>
      <c r="BD74" t="b">
        <v>0</v>
      </c>
      <c r="BE74" t="b">
        <v>0</v>
      </c>
      <c r="BF74" t="b">
        <v>1</v>
      </c>
      <c r="BG74" t="b">
        <v>0</v>
      </c>
      <c r="BH74" t="b">
        <v>0</v>
      </c>
      <c r="BI74" s="76" t="str">
        <f>HYPERLINK("https://pbs.twimg.com/profile_banners/71436318/1508423168")</f>
        <v>https://pbs.twimg.com/profile_banners/71436318/1508423168</v>
      </c>
      <c r="BK74" t="s">
        <v>2343</v>
      </c>
      <c r="BL74" t="b">
        <v>0</v>
      </c>
      <c r="BN74" t="s">
        <v>65</v>
      </c>
      <c r="BO74" t="s">
        <v>2345</v>
      </c>
      <c r="BP74" s="76" t="str">
        <f>HYPERLINK("https://twitter.com/kompastv")</f>
        <v>https://twitter.com/kompastv</v>
      </c>
      <c r="BQ74" s="44"/>
      <c r="BR74" s="44"/>
      <c r="BS74" s="44"/>
      <c r="BT74" s="44"/>
      <c r="BU74" s="44"/>
      <c r="BV74" s="44"/>
      <c r="BW74" s="44"/>
      <c r="BX74" s="44"/>
      <c r="BY74" s="44"/>
      <c r="BZ74" s="44"/>
      <c r="CA74" s="44"/>
      <c r="CB74" s="45"/>
      <c r="CC74" s="44"/>
      <c r="CD74" s="45"/>
      <c r="CE74" s="44"/>
      <c r="CF74" s="45"/>
      <c r="CG74" s="44"/>
      <c r="CH74" s="45"/>
      <c r="CI74" s="44"/>
      <c r="CJ74" s="112" t="str">
        <f>REPLACE(INDEX(GroupVertices[Group],MATCH("~"&amp;Vertices[[#This Row],[Vertex]],GroupVertices[Vertex],0)),1,1,"")</f>
        <v>8</v>
      </c>
      <c r="CK74" s="44"/>
      <c r="CL74" s="44"/>
      <c r="CM74" s="44"/>
      <c r="CN74" s="44"/>
      <c r="CO74" s="2"/>
    </row>
    <row r="75" spans="1:93" ht="41.45" customHeight="1">
      <c r="A75" s="59" t="s">
        <v>347</v>
      </c>
      <c r="C75" s="60"/>
      <c r="D75" s="60" t="s">
        <v>64</v>
      </c>
      <c r="E75" s="61">
        <v>1.5</v>
      </c>
      <c r="F75" s="63"/>
      <c r="G75" s="92" t="str">
        <f>HYPERLINK("https://pbs.twimg.com/profile_images/1254727159584657408/iif3yNZy_normal.jpg")</f>
        <v>https://pbs.twimg.com/profile_images/1254727159584657408/iif3yNZy_normal.jpg</v>
      </c>
      <c r="H75" s="60"/>
      <c r="I75" s="64" t="str">
        <f>Vertices[[#This Row],[Vertex]]</f>
        <v>bahlillahadalia</v>
      </c>
      <c r="J75" s="65"/>
      <c r="K75" s="65"/>
      <c r="L75" s="64"/>
      <c r="M75" s="68"/>
      <c r="N75" s="69">
        <v>4155.48583984375</v>
      </c>
      <c r="O75" s="69">
        <v>2277.43994140625</v>
      </c>
      <c r="P75" s="70"/>
      <c r="Q75" s="71"/>
      <c r="R75" s="71"/>
      <c r="S75" s="78"/>
      <c r="T75" s="44">
        <v>1</v>
      </c>
      <c r="U75" s="44">
        <v>0</v>
      </c>
      <c r="V75" s="45">
        <v>0</v>
      </c>
      <c r="W75" s="45">
        <v>0.114417</v>
      </c>
      <c r="X75" s="45">
        <v>0.001412</v>
      </c>
      <c r="Y75" s="45">
        <v>0.003404</v>
      </c>
      <c r="Z75" s="45">
        <v>0</v>
      </c>
      <c r="AA75" s="45">
        <v>0</v>
      </c>
      <c r="AB75" s="66">
        <v>75</v>
      </c>
      <c r="AC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5" s="67"/>
      <c r="AE75" t="s">
        <v>1542</v>
      </c>
      <c r="AF75" s="74" t="s">
        <v>1802</v>
      </c>
      <c r="AG75">
        <v>8767</v>
      </c>
      <c r="AH75">
        <v>69</v>
      </c>
      <c r="AI75">
        <v>1387</v>
      </c>
      <c r="AJ75">
        <v>9</v>
      </c>
      <c r="AK75">
        <v>53</v>
      </c>
      <c r="AL75">
        <v>584</v>
      </c>
      <c r="AM75" t="b">
        <v>0</v>
      </c>
      <c r="AN75" s="73">
        <v>43620.31445601852</v>
      </c>
      <c r="AP75" t="s">
        <v>2028</v>
      </c>
      <c r="AQ75" s="76" t="str">
        <f>HYPERLINK("https://t.co/UlDTLA1NB5")</f>
        <v>https://t.co/UlDTLA1NB5</v>
      </c>
      <c r="AR75" s="76" t="str">
        <f>HYPERLINK("https://linktr.ee/bahlillahadalia")</f>
        <v>https://linktr.ee/bahlillahadalia</v>
      </c>
      <c r="AS75" t="s">
        <v>2262</v>
      </c>
      <c r="AX75" s="76" t="str">
        <f>HYPERLINK("https://t.co/UlDTLA1NB5")</f>
        <v>https://t.co/UlDTLA1NB5</v>
      </c>
      <c r="AY75" t="b">
        <v>0</v>
      </c>
      <c r="BB75" t="b">
        <v>0</v>
      </c>
      <c r="BC75" t="b">
        <v>1</v>
      </c>
      <c r="BD75" t="b">
        <v>1</v>
      </c>
      <c r="BE75" t="b">
        <v>0</v>
      </c>
      <c r="BF75" t="b">
        <v>0</v>
      </c>
      <c r="BG75" t="b">
        <v>0</v>
      </c>
      <c r="BH75" t="b">
        <v>0</v>
      </c>
      <c r="BI75" s="76" t="str">
        <f>HYPERLINK("https://pbs.twimg.com/profile_banners/1135811630728540160/1696136517")</f>
        <v>https://pbs.twimg.com/profile_banners/1135811630728540160/1696136517</v>
      </c>
      <c r="BK75" t="s">
        <v>2343</v>
      </c>
      <c r="BL75" t="b">
        <v>0</v>
      </c>
      <c r="BN75" t="s">
        <v>65</v>
      </c>
      <c r="BO75" t="s">
        <v>2345</v>
      </c>
      <c r="BP75" s="76" t="str">
        <f>HYPERLINK("https://twitter.com/bahlillahadalia")</f>
        <v>https://twitter.com/bahlillahadalia</v>
      </c>
      <c r="BQ75" s="44"/>
      <c r="BR75" s="44"/>
      <c r="BS75" s="44"/>
      <c r="BT75" s="44"/>
      <c r="BU75" s="44"/>
      <c r="BV75" s="44"/>
      <c r="BW75" s="44"/>
      <c r="BX75" s="44"/>
      <c r="BY75" s="44"/>
      <c r="BZ75" s="44"/>
      <c r="CA75" s="44"/>
      <c r="CB75" s="45"/>
      <c r="CC75" s="44"/>
      <c r="CD75" s="45"/>
      <c r="CE75" s="44"/>
      <c r="CF75" s="45"/>
      <c r="CG75" s="44"/>
      <c r="CH75" s="45"/>
      <c r="CI75" s="44"/>
      <c r="CJ75" s="112" t="str">
        <f>REPLACE(INDEX(GroupVertices[Group],MATCH("~"&amp;Vertices[[#This Row],[Vertex]],GroupVertices[Vertex],0)),1,1,"")</f>
        <v>8</v>
      </c>
      <c r="CK75" s="44"/>
      <c r="CL75" s="44"/>
      <c r="CM75" s="44"/>
      <c r="CN75" s="44"/>
      <c r="CO75" s="2"/>
    </row>
    <row r="76" spans="1:93" ht="41.45" customHeight="1">
      <c r="A76" s="59" t="s">
        <v>348</v>
      </c>
      <c r="C76" s="60"/>
      <c r="D76" s="60" t="s">
        <v>64</v>
      </c>
      <c r="E76" s="61">
        <v>1.5</v>
      </c>
      <c r="F76" s="63"/>
      <c r="G76" s="92" t="str">
        <f>HYPERLINK("https://pbs.twimg.com/profile_images/1606302930533253120/lHJvjNI5_normal.jpg")</f>
        <v>https://pbs.twimg.com/profile_images/1606302930533253120/lHJvjNI5_normal.jpg</v>
      </c>
      <c r="H76" s="60"/>
      <c r="I76" s="64" t="str">
        <f>Vertices[[#This Row],[Vertex]]</f>
        <v>yosnggarang</v>
      </c>
      <c r="J76" s="65"/>
      <c r="K76" s="65"/>
      <c r="L76" s="64"/>
      <c r="M76" s="68"/>
      <c r="N76" s="69">
        <v>4585.09423828125</v>
      </c>
      <c r="O76" s="69">
        <v>870.5155639648438</v>
      </c>
      <c r="P76" s="70"/>
      <c r="Q76" s="71"/>
      <c r="R76" s="71"/>
      <c r="S76" s="78"/>
      <c r="T76" s="44">
        <v>1</v>
      </c>
      <c r="U76" s="44">
        <v>0</v>
      </c>
      <c r="V76" s="45">
        <v>0</v>
      </c>
      <c r="W76" s="45">
        <v>0.114417</v>
      </c>
      <c r="X76" s="45">
        <v>0.001412</v>
      </c>
      <c r="Y76" s="45">
        <v>0.003404</v>
      </c>
      <c r="Z76" s="45">
        <v>0</v>
      </c>
      <c r="AA76" s="45">
        <v>0</v>
      </c>
      <c r="AB76" s="66">
        <v>76</v>
      </c>
      <c r="AC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6" s="67"/>
      <c r="AE76" t="s">
        <v>348</v>
      </c>
      <c r="AF76" s="74" t="s">
        <v>1315</v>
      </c>
      <c r="AG76">
        <v>4172</v>
      </c>
      <c r="AH76">
        <v>778</v>
      </c>
      <c r="AI76">
        <v>7810</v>
      </c>
      <c r="AJ76">
        <v>4</v>
      </c>
      <c r="AK76">
        <v>1313</v>
      </c>
      <c r="AL76">
        <v>722</v>
      </c>
      <c r="AM76" t="b">
        <v>0</v>
      </c>
      <c r="AN76" s="73">
        <v>41436.3759375</v>
      </c>
      <c r="AO76" t="s">
        <v>1942</v>
      </c>
      <c r="AP76" t="s">
        <v>2029</v>
      </c>
      <c r="AY76" t="b">
        <v>0</v>
      </c>
      <c r="BB76" t="b">
        <v>1</v>
      </c>
      <c r="BC76" t="b">
        <v>0</v>
      </c>
      <c r="BD76" t="b">
        <v>1</v>
      </c>
      <c r="BE76" t="b">
        <v>0</v>
      </c>
      <c r="BF76" t="b">
        <v>1</v>
      </c>
      <c r="BG76" t="b">
        <v>0</v>
      </c>
      <c r="BH76" t="b">
        <v>0</v>
      </c>
      <c r="BI76" s="76" t="str">
        <f>HYPERLINK("https://pbs.twimg.com/profile_banners/1500793416/1602734686")</f>
        <v>https://pbs.twimg.com/profile_banners/1500793416/1602734686</v>
      </c>
      <c r="BK76" t="s">
        <v>2343</v>
      </c>
      <c r="BL76" t="b">
        <v>0</v>
      </c>
      <c r="BN76" t="s">
        <v>65</v>
      </c>
      <c r="BO76" t="s">
        <v>2345</v>
      </c>
      <c r="BP76" s="76" t="str">
        <f>HYPERLINK("https://twitter.com/yosnggarang")</f>
        <v>https://twitter.com/yosnggarang</v>
      </c>
      <c r="BQ76" s="44"/>
      <c r="BR76" s="44"/>
      <c r="BS76" s="44"/>
      <c r="BT76" s="44"/>
      <c r="BU76" s="44"/>
      <c r="BV76" s="44"/>
      <c r="BW76" s="44"/>
      <c r="BX76" s="44"/>
      <c r="BY76" s="44"/>
      <c r="BZ76" s="44"/>
      <c r="CA76" s="44"/>
      <c r="CB76" s="45"/>
      <c r="CC76" s="44"/>
      <c r="CD76" s="45"/>
      <c r="CE76" s="44"/>
      <c r="CF76" s="45"/>
      <c r="CG76" s="44"/>
      <c r="CH76" s="45"/>
      <c r="CI76" s="44"/>
      <c r="CJ76" s="112" t="str">
        <f>REPLACE(INDEX(GroupVertices[Group],MATCH("~"&amp;Vertices[[#This Row],[Vertex]],GroupVertices[Vertex],0)),1,1,"")</f>
        <v>8</v>
      </c>
      <c r="CK76" s="44"/>
      <c r="CL76" s="44"/>
      <c r="CM76" s="44"/>
      <c r="CN76" s="44"/>
      <c r="CO76" s="2"/>
    </row>
    <row r="77" spans="1:93" ht="41.45" customHeight="1">
      <c r="A77" s="59" t="s">
        <v>349</v>
      </c>
      <c r="C77" s="60"/>
      <c r="D77" s="60" t="s">
        <v>64</v>
      </c>
      <c r="E77" s="61">
        <v>1.5</v>
      </c>
      <c r="F77" s="63"/>
      <c r="G77" s="92" t="str">
        <f>HYPERLINK("https://pbs.twimg.com/profile_images/1619880116548673536/yRH2427j_normal.jpg")</f>
        <v>https://pbs.twimg.com/profile_images/1619880116548673536/yRH2427j_normal.jpg</v>
      </c>
      <c r="H77" s="60"/>
      <c r="I77" s="64" t="str">
        <f>Vertices[[#This Row],[Vertex]]</f>
        <v>menang2024</v>
      </c>
      <c r="J77" s="65"/>
      <c r="K77" s="65"/>
      <c r="L77" s="64"/>
      <c r="M77" s="68"/>
      <c r="N77" s="69">
        <v>4298.8662109375</v>
      </c>
      <c r="O77" s="69">
        <v>675.6094970703125</v>
      </c>
      <c r="P77" s="70"/>
      <c r="Q77" s="71"/>
      <c r="R77" s="71"/>
      <c r="S77" s="78"/>
      <c r="T77" s="44">
        <v>1</v>
      </c>
      <c r="U77" s="44">
        <v>0</v>
      </c>
      <c r="V77" s="45">
        <v>0</v>
      </c>
      <c r="W77" s="45">
        <v>0.114417</v>
      </c>
      <c r="X77" s="45">
        <v>0.001412</v>
      </c>
      <c r="Y77" s="45">
        <v>0.003404</v>
      </c>
      <c r="Z77" s="45">
        <v>0</v>
      </c>
      <c r="AA77" s="45">
        <v>0</v>
      </c>
      <c r="AB77" s="66">
        <v>77</v>
      </c>
      <c r="AC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7" s="67"/>
      <c r="AE77" t="s">
        <v>1543</v>
      </c>
      <c r="AF77" s="74" t="s">
        <v>1316</v>
      </c>
      <c r="AG77">
        <v>124</v>
      </c>
      <c r="AH77">
        <v>132</v>
      </c>
      <c r="AI77">
        <v>9006</v>
      </c>
      <c r="AJ77">
        <v>0</v>
      </c>
      <c r="AK77">
        <v>20101</v>
      </c>
      <c r="AL77">
        <v>45</v>
      </c>
      <c r="AM77" t="b">
        <v>0</v>
      </c>
      <c r="AN77" s="73">
        <v>44472.42070601852</v>
      </c>
      <c r="AY77" t="b">
        <v>0</v>
      </c>
      <c r="BB77" t="b">
        <v>0</v>
      </c>
      <c r="BC77" t="b">
        <v>1</v>
      </c>
      <c r="BD77" t="b">
        <v>1</v>
      </c>
      <c r="BE77" t="b">
        <v>0</v>
      </c>
      <c r="BF77" t="b">
        <v>1</v>
      </c>
      <c r="BG77" t="b">
        <v>0</v>
      </c>
      <c r="BH77" t="b">
        <v>0</v>
      </c>
      <c r="BK77" t="s">
        <v>2343</v>
      </c>
      <c r="BL77" t="b">
        <v>0</v>
      </c>
      <c r="BN77" t="s">
        <v>65</v>
      </c>
      <c r="BO77" t="s">
        <v>2345</v>
      </c>
      <c r="BP77" s="76" t="str">
        <f>HYPERLINK("https://twitter.com/menang2024")</f>
        <v>https://twitter.com/menang2024</v>
      </c>
      <c r="BQ77" s="44"/>
      <c r="BR77" s="44"/>
      <c r="BS77" s="44"/>
      <c r="BT77" s="44"/>
      <c r="BU77" s="44"/>
      <c r="BV77" s="44"/>
      <c r="BW77" s="44"/>
      <c r="BX77" s="44"/>
      <c r="BY77" s="44"/>
      <c r="BZ77" s="44"/>
      <c r="CA77" s="44"/>
      <c r="CB77" s="45"/>
      <c r="CC77" s="44"/>
      <c r="CD77" s="45"/>
      <c r="CE77" s="44"/>
      <c r="CF77" s="45"/>
      <c r="CG77" s="44"/>
      <c r="CH77" s="45"/>
      <c r="CI77" s="44"/>
      <c r="CJ77" s="112" t="str">
        <f>REPLACE(INDEX(GroupVertices[Group],MATCH("~"&amp;Vertices[[#This Row],[Vertex]],GroupVertices[Vertex],0)),1,1,"")</f>
        <v>8</v>
      </c>
      <c r="CK77" s="44"/>
      <c r="CL77" s="44"/>
      <c r="CM77" s="44"/>
      <c r="CN77" s="44"/>
      <c r="CO77" s="2"/>
    </row>
    <row r="78" spans="1:93" ht="41.45" customHeight="1">
      <c r="A78" s="59" t="s">
        <v>383</v>
      </c>
      <c r="C78" s="60"/>
      <c r="D78" s="60" t="s">
        <v>64</v>
      </c>
      <c r="E78" s="61">
        <v>1.5</v>
      </c>
      <c r="F78" s="63"/>
      <c r="G78" s="92" t="str">
        <f>HYPERLINK("https://pbs.twimg.com/profile_images/1301160110148861955/0pofPKa5_normal.jpg")</f>
        <v>https://pbs.twimg.com/profile_images/1301160110148861955/0pofPKa5_normal.jpg</v>
      </c>
      <c r="H78" s="60"/>
      <c r="I78" s="64" t="str">
        <f>Vertices[[#This Row],[Vertex]]</f>
        <v>unj_official</v>
      </c>
      <c r="J78" s="65"/>
      <c r="K78" s="65"/>
      <c r="L78" s="64"/>
      <c r="M78" s="68"/>
      <c r="N78" s="69">
        <v>6903.03515625</v>
      </c>
      <c r="O78" s="69">
        <v>9323.3916015625</v>
      </c>
      <c r="P78" s="70"/>
      <c r="Q78" s="71"/>
      <c r="R78" s="71"/>
      <c r="S78" s="78"/>
      <c r="T78" s="44">
        <v>1</v>
      </c>
      <c r="U78" s="44">
        <v>0</v>
      </c>
      <c r="V78" s="45">
        <v>0</v>
      </c>
      <c r="W78" s="45">
        <v>0.114273</v>
      </c>
      <c r="X78" s="45">
        <v>0.003195</v>
      </c>
      <c r="Y78" s="45">
        <v>0.003375</v>
      </c>
      <c r="Z78" s="45">
        <v>0</v>
      </c>
      <c r="AA78" s="45">
        <v>0</v>
      </c>
      <c r="AB78" s="66">
        <v>78</v>
      </c>
      <c r="AC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8" s="67"/>
      <c r="AE78" t="s">
        <v>1631</v>
      </c>
      <c r="AF78" s="74" t="s">
        <v>1829</v>
      </c>
      <c r="AG78">
        <v>614336</v>
      </c>
      <c r="AH78">
        <v>74</v>
      </c>
      <c r="AI78">
        <v>8355</v>
      </c>
      <c r="AJ78">
        <v>70</v>
      </c>
      <c r="AK78">
        <v>552</v>
      </c>
      <c r="AL78">
        <v>1591</v>
      </c>
      <c r="AM78" t="b">
        <v>0</v>
      </c>
      <c r="AN78" s="73">
        <v>40963.31024305556</v>
      </c>
      <c r="AO78" t="s">
        <v>1962</v>
      </c>
      <c r="AP78" t="s">
        <v>2104</v>
      </c>
      <c r="AQ78" s="76" t="str">
        <f>HYPERLINK("https://t.co/EZKyOpajYz")</f>
        <v>https://t.co/EZKyOpajYz</v>
      </c>
      <c r="AR78" s="76" t="str">
        <f>HYPERLINK("http://www.unj.ac.id")</f>
        <v>http://www.unj.ac.id</v>
      </c>
      <c r="AS78" t="s">
        <v>2284</v>
      </c>
      <c r="AW78">
        <v>1.15425476361087E+18</v>
      </c>
      <c r="AX78" s="76" t="str">
        <f>HYPERLINK("https://t.co/EZKyOpajYz")</f>
        <v>https://t.co/EZKyOpajYz</v>
      </c>
      <c r="AY78" t="b">
        <v>0</v>
      </c>
      <c r="BB78" t="b">
        <v>1</v>
      </c>
      <c r="BC78" t="b">
        <v>1</v>
      </c>
      <c r="BD78" t="b">
        <v>0</v>
      </c>
      <c r="BE78" t="b">
        <v>0</v>
      </c>
      <c r="BF78" t="b">
        <v>0</v>
      </c>
      <c r="BG78" t="b">
        <v>0</v>
      </c>
      <c r="BH78" t="b">
        <v>0</v>
      </c>
      <c r="BI78" s="76" t="str">
        <f>HYPERLINK("https://pbs.twimg.com/profile_banners/501544483/1502082125")</f>
        <v>https://pbs.twimg.com/profile_banners/501544483/1502082125</v>
      </c>
      <c r="BK78" t="s">
        <v>2343</v>
      </c>
      <c r="BL78" t="b">
        <v>0</v>
      </c>
      <c r="BN78" t="s">
        <v>65</v>
      </c>
      <c r="BO78" t="s">
        <v>2345</v>
      </c>
      <c r="BP78" s="76" t="str">
        <f>HYPERLINK("https://twitter.com/unj_official")</f>
        <v>https://twitter.com/unj_official</v>
      </c>
      <c r="BQ78" s="44"/>
      <c r="BR78" s="44"/>
      <c r="BS78" s="44"/>
      <c r="BT78" s="44"/>
      <c r="BU78" s="44"/>
      <c r="BV78" s="44"/>
      <c r="BW78" s="44"/>
      <c r="BX78" s="44"/>
      <c r="BY78" s="44"/>
      <c r="BZ78" s="44"/>
      <c r="CA78" s="44"/>
      <c r="CB78" s="45"/>
      <c r="CC78" s="44"/>
      <c r="CD78" s="45"/>
      <c r="CE78" s="44"/>
      <c r="CF78" s="45"/>
      <c r="CG78" s="44"/>
      <c r="CH78" s="45"/>
      <c r="CI78" s="44"/>
      <c r="CJ78" s="112" t="str">
        <f>REPLACE(INDEX(GroupVertices[Group],MATCH("~"&amp;Vertices[[#This Row],[Vertex]],GroupVertices[Vertex],0)),1,1,"")</f>
        <v>13</v>
      </c>
      <c r="CK78" s="44"/>
      <c r="CL78" s="44"/>
      <c r="CM78" s="44"/>
      <c r="CN78" s="44"/>
      <c r="CO78" s="2"/>
    </row>
    <row r="79" spans="1:93" ht="41.45" customHeight="1">
      <c r="A79" s="59" t="s">
        <v>344</v>
      </c>
      <c r="C79" s="60"/>
      <c r="D79" s="60" t="s">
        <v>64</v>
      </c>
      <c r="E79" s="61">
        <v>1.5</v>
      </c>
      <c r="F79" s="63"/>
      <c r="G79" s="92" t="str">
        <f>HYPERLINK("https://pbs.twimg.com/profile_images/1439086547551211522/pPGnPdSS_normal.jpg")</f>
        <v>https://pbs.twimg.com/profile_images/1439086547551211522/pPGnPdSS_normal.jpg</v>
      </c>
      <c r="H79" s="60"/>
      <c r="I79" s="64" t="str">
        <f>Vertices[[#This Row],[Vertex]]</f>
        <v>lanyallamm1</v>
      </c>
      <c r="J79" s="65"/>
      <c r="K79" s="65"/>
      <c r="L79" s="64"/>
      <c r="M79" s="68"/>
      <c r="N79" s="69">
        <v>3800.47509765625</v>
      </c>
      <c r="O79" s="69">
        <v>2025.2855224609375</v>
      </c>
      <c r="P79" s="70"/>
      <c r="Q79" s="71"/>
      <c r="R79" s="71"/>
      <c r="S79" s="78"/>
      <c r="T79" s="44">
        <v>1</v>
      </c>
      <c r="U79" s="44">
        <v>0</v>
      </c>
      <c r="V79" s="45">
        <v>0</v>
      </c>
      <c r="W79" s="45">
        <v>0.114273</v>
      </c>
      <c r="X79" s="45">
        <v>0.002493</v>
      </c>
      <c r="Y79" s="45">
        <v>0.003408</v>
      </c>
      <c r="Z79" s="45">
        <v>0</v>
      </c>
      <c r="AA79" s="45">
        <v>0</v>
      </c>
      <c r="AB79" s="66">
        <v>79</v>
      </c>
      <c r="AC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9" s="67"/>
      <c r="AE79" t="s">
        <v>1536</v>
      </c>
      <c r="AF79" s="74" t="s">
        <v>1801</v>
      </c>
      <c r="AG79">
        <v>79052</v>
      </c>
      <c r="AH79">
        <v>189</v>
      </c>
      <c r="AI79">
        <v>11367</v>
      </c>
      <c r="AJ79">
        <v>30</v>
      </c>
      <c r="AK79">
        <v>436</v>
      </c>
      <c r="AL79">
        <v>3010</v>
      </c>
      <c r="AM79" t="b">
        <v>0</v>
      </c>
      <c r="AN79" s="73">
        <v>41542.45333333333</v>
      </c>
      <c r="AO79" t="s">
        <v>1940</v>
      </c>
      <c r="AP79" t="s">
        <v>2022</v>
      </c>
      <c r="AT79" s="76" t="str">
        <f>HYPERLINK("https://t.co/U3kFHMwKDy")</f>
        <v>https://t.co/U3kFHMwKDy</v>
      </c>
      <c r="AU79" s="76" t="str">
        <f>HYPERLINK("https://lanyallacenter.id/kita-benamkan-nilai-nilai-pancasila-demi-apa/")</f>
        <v>https://lanyallacenter.id/kita-benamkan-nilai-nilai-pancasila-demi-apa/</v>
      </c>
      <c r="AV79" t="s">
        <v>2332</v>
      </c>
      <c r="AY79" t="b">
        <v>0</v>
      </c>
      <c r="BB79" t="b">
        <v>0</v>
      </c>
      <c r="BC79" t="b">
        <v>1</v>
      </c>
      <c r="BD79" t="b">
        <v>0</v>
      </c>
      <c r="BE79" t="b">
        <v>0</v>
      </c>
      <c r="BF79" t="b">
        <v>1</v>
      </c>
      <c r="BG79" t="b">
        <v>0</v>
      </c>
      <c r="BH79" t="b">
        <v>0</v>
      </c>
      <c r="BI79" s="76" t="str">
        <f>HYPERLINK("https://pbs.twimg.com/profile_banners/1903785632/1612634289")</f>
        <v>https://pbs.twimg.com/profile_banners/1903785632/1612634289</v>
      </c>
      <c r="BK79" t="s">
        <v>2344</v>
      </c>
      <c r="BL79" t="b">
        <v>0</v>
      </c>
      <c r="BN79" t="s">
        <v>65</v>
      </c>
      <c r="BO79" t="s">
        <v>2345</v>
      </c>
      <c r="BP79" s="76" t="str">
        <f>HYPERLINK("https://twitter.com/lanyallamm1")</f>
        <v>https://twitter.com/lanyallamm1</v>
      </c>
      <c r="BQ79" s="44"/>
      <c r="BR79" s="44"/>
      <c r="BS79" s="44"/>
      <c r="BT79" s="44"/>
      <c r="BU79" s="44"/>
      <c r="BV79" s="44"/>
      <c r="BW79" s="44"/>
      <c r="BX79" s="44"/>
      <c r="BY79" s="44"/>
      <c r="BZ79" s="44"/>
      <c r="CA79" s="44"/>
      <c r="CB79" s="45"/>
      <c r="CC79" s="44"/>
      <c r="CD79" s="45"/>
      <c r="CE79" s="44"/>
      <c r="CF79" s="45"/>
      <c r="CG79" s="44"/>
      <c r="CH79" s="45"/>
      <c r="CI79" s="44"/>
      <c r="CJ79" s="112" t="str">
        <f>REPLACE(INDEX(GroupVertices[Group],MATCH("~"&amp;Vertices[[#This Row],[Vertex]],GroupVertices[Vertex],0)),1,1,"")</f>
        <v>6</v>
      </c>
      <c r="CK79" s="44"/>
      <c r="CL79" s="44"/>
      <c r="CM79" s="44"/>
      <c r="CN79" s="44"/>
      <c r="CO79" s="2"/>
    </row>
    <row r="80" spans="1:93" ht="41.45" customHeight="1">
      <c r="A80" s="59" t="s">
        <v>429</v>
      </c>
      <c r="C80" s="60"/>
      <c r="D80" s="60" t="s">
        <v>64</v>
      </c>
      <c r="E80" s="61">
        <v>1.5</v>
      </c>
      <c r="F80" s="63"/>
      <c r="G80" s="92" t="str">
        <f>HYPERLINK("https://pbs.twimg.com/profile_images/1409011832560394242/bMOXedoo_normal.jpg")</f>
        <v>https://pbs.twimg.com/profile_images/1409011832560394242/bMOXedoo_normal.jpg</v>
      </c>
      <c r="H80" s="60"/>
      <c r="I80" s="64" t="str">
        <f>Vertices[[#This Row],[Vertex]]</f>
        <v>deslini2</v>
      </c>
      <c r="J80" s="65"/>
      <c r="K80" s="65"/>
      <c r="L80" s="64"/>
      <c r="M80" s="68"/>
      <c r="N80" s="69">
        <v>1162.5289306640625</v>
      </c>
      <c r="O80" s="69">
        <v>5478.27197265625</v>
      </c>
      <c r="P80" s="70"/>
      <c r="Q80" s="71"/>
      <c r="R80" s="71"/>
      <c r="S80" s="78"/>
      <c r="T80" s="44">
        <v>1</v>
      </c>
      <c r="U80" s="44">
        <v>0</v>
      </c>
      <c r="V80" s="45">
        <v>0</v>
      </c>
      <c r="W80" s="45">
        <v>0.108923</v>
      </c>
      <c r="X80" s="45">
        <v>0.149931</v>
      </c>
      <c r="Y80" s="45">
        <v>0.00337</v>
      </c>
      <c r="Z80" s="45">
        <v>0</v>
      </c>
      <c r="AA80" s="45">
        <v>0</v>
      </c>
      <c r="AB80" s="66">
        <v>80</v>
      </c>
      <c r="AC8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0" s="67"/>
      <c r="AE80" t="s">
        <v>1695</v>
      </c>
      <c r="AF80" s="74" t="s">
        <v>1862</v>
      </c>
      <c r="AG80">
        <v>10840</v>
      </c>
      <c r="AH80">
        <v>11123</v>
      </c>
      <c r="AI80">
        <v>51705</v>
      </c>
      <c r="AJ80">
        <v>3</v>
      </c>
      <c r="AK80">
        <v>24019</v>
      </c>
      <c r="AL80">
        <v>941</v>
      </c>
      <c r="AM80" t="b">
        <v>0</v>
      </c>
      <c r="AN80" s="73">
        <v>43395.1578125</v>
      </c>
      <c r="AW80">
        <v>1.7297775008494E+18</v>
      </c>
      <c r="AY80" t="b">
        <v>0</v>
      </c>
      <c r="BB80" t="b">
        <v>1</v>
      </c>
      <c r="BC80" t="b">
        <v>0</v>
      </c>
      <c r="BD80" t="b">
        <v>1</v>
      </c>
      <c r="BE80" t="b">
        <v>0</v>
      </c>
      <c r="BF80" t="b">
        <v>1</v>
      </c>
      <c r="BG80" t="b">
        <v>0</v>
      </c>
      <c r="BH80" t="b">
        <v>0</v>
      </c>
      <c r="BI80" s="76" t="str">
        <f>HYPERLINK("https://pbs.twimg.com/profile_banners/1054217592645140480/1624769989")</f>
        <v>https://pbs.twimg.com/profile_banners/1054217592645140480/1624769989</v>
      </c>
      <c r="BK80" t="s">
        <v>2343</v>
      </c>
      <c r="BL80" t="b">
        <v>0</v>
      </c>
      <c r="BN80" t="s">
        <v>65</v>
      </c>
      <c r="BO80" t="s">
        <v>2345</v>
      </c>
      <c r="BP80" s="76" t="str">
        <f>HYPERLINK("https://twitter.com/deslini2")</f>
        <v>https://twitter.com/deslini2</v>
      </c>
      <c r="BQ80" s="44"/>
      <c r="BR80" s="44"/>
      <c r="BS80" s="44"/>
      <c r="BT80" s="44"/>
      <c r="BU80" s="44"/>
      <c r="BV80" s="44"/>
      <c r="BW80" s="44"/>
      <c r="BX80" s="44"/>
      <c r="BY80" s="44"/>
      <c r="BZ80" s="44"/>
      <c r="CA80" s="44"/>
      <c r="CB80" s="45"/>
      <c r="CC80" s="44"/>
      <c r="CD80" s="45"/>
      <c r="CE80" s="44"/>
      <c r="CF80" s="45"/>
      <c r="CG80" s="44"/>
      <c r="CH80" s="45"/>
      <c r="CI80" s="44"/>
      <c r="CJ80" s="112" t="str">
        <f>REPLACE(INDEX(GroupVertices[Group],MATCH("~"&amp;Vertices[[#This Row],[Vertex]],GroupVertices[Vertex],0)),1,1,"")</f>
        <v>1</v>
      </c>
      <c r="CK80" s="44"/>
      <c r="CL80" s="44"/>
      <c r="CM80" s="44"/>
      <c r="CN80" s="44"/>
      <c r="CO80" s="2"/>
    </row>
    <row r="81" spans="1:93" ht="41.45" customHeight="1">
      <c r="A81" s="59" t="s">
        <v>441</v>
      </c>
      <c r="C81" s="60"/>
      <c r="D81" s="60" t="s">
        <v>64</v>
      </c>
      <c r="E81" s="61">
        <v>1.5</v>
      </c>
      <c r="F81" s="63"/>
      <c r="G81" s="92" t="str">
        <f>HYPERLINK("https://pbs.twimg.com/profile_images/1633337633463218178/tQXamsNV_normal.jpg")</f>
        <v>https://pbs.twimg.com/profile_images/1633337633463218178/tQXamsNV_normal.jpg</v>
      </c>
      <c r="H81" s="60"/>
      <c r="I81" s="64" t="str">
        <f>Vertices[[#This Row],[Vertex]]</f>
        <v>hidayatnatari</v>
      </c>
      <c r="J81" s="65"/>
      <c r="K81" s="65"/>
      <c r="L81" s="64"/>
      <c r="M81" s="68"/>
      <c r="N81" s="69">
        <v>1218.5482177734375</v>
      </c>
      <c r="O81" s="69">
        <v>4145.177734375</v>
      </c>
      <c r="P81" s="70"/>
      <c r="Q81" s="71"/>
      <c r="R81" s="71"/>
      <c r="S81" s="78"/>
      <c r="T81" s="44">
        <v>1</v>
      </c>
      <c r="U81" s="44">
        <v>0</v>
      </c>
      <c r="V81" s="45">
        <v>0</v>
      </c>
      <c r="W81" s="45">
        <v>0.108923</v>
      </c>
      <c r="X81" s="45">
        <v>0.149931</v>
      </c>
      <c r="Y81" s="45">
        <v>0.00337</v>
      </c>
      <c r="Z81" s="45">
        <v>0</v>
      </c>
      <c r="AA81" s="45">
        <v>0</v>
      </c>
      <c r="AB81" s="66">
        <v>81</v>
      </c>
      <c r="AC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1" s="67"/>
      <c r="AE81" t="s">
        <v>1707</v>
      </c>
      <c r="AF81" s="74" t="s">
        <v>1874</v>
      </c>
      <c r="AG81">
        <v>10477</v>
      </c>
      <c r="AH81">
        <v>6153</v>
      </c>
      <c r="AI81">
        <v>17113</v>
      </c>
      <c r="AJ81">
        <v>1</v>
      </c>
      <c r="AK81">
        <v>49188</v>
      </c>
      <c r="AL81">
        <v>2404</v>
      </c>
      <c r="AM81" t="b">
        <v>0</v>
      </c>
      <c r="AN81" s="73">
        <v>44647.11310185185</v>
      </c>
      <c r="AP81" t="s">
        <v>2175</v>
      </c>
      <c r="AY81" t="b">
        <v>0</v>
      </c>
      <c r="BB81" t="b">
        <v>0</v>
      </c>
      <c r="BC81" t="b">
        <v>1</v>
      </c>
      <c r="BD81" t="b">
        <v>1</v>
      </c>
      <c r="BE81" t="b">
        <v>0</v>
      </c>
      <c r="BF81" t="b">
        <v>1</v>
      </c>
      <c r="BG81" t="b">
        <v>0</v>
      </c>
      <c r="BH81" t="b">
        <v>0</v>
      </c>
      <c r="BI81" s="76" t="str">
        <f>HYPERLINK("https://pbs.twimg.com/profile_banners/1507910874627178500/1650711122")</f>
        <v>https://pbs.twimg.com/profile_banners/1507910874627178500/1650711122</v>
      </c>
      <c r="BK81" t="s">
        <v>2343</v>
      </c>
      <c r="BL81" t="b">
        <v>0</v>
      </c>
      <c r="BN81" t="s">
        <v>65</v>
      </c>
      <c r="BO81" t="s">
        <v>2345</v>
      </c>
      <c r="BP81" s="76" t="str">
        <f>HYPERLINK("https://twitter.com/hidayatnatari")</f>
        <v>https://twitter.com/hidayatnatari</v>
      </c>
      <c r="BQ81" s="44"/>
      <c r="BR81" s="44"/>
      <c r="BS81" s="44"/>
      <c r="BT81" s="44"/>
      <c r="BU81" s="44"/>
      <c r="BV81" s="44"/>
      <c r="BW81" s="44"/>
      <c r="BX81" s="44"/>
      <c r="BY81" s="44"/>
      <c r="BZ81" s="44"/>
      <c r="CA81" s="44"/>
      <c r="CB81" s="45"/>
      <c r="CC81" s="44"/>
      <c r="CD81" s="45"/>
      <c r="CE81" s="44"/>
      <c r="CF81" s="45"/>
      <c r="CG81" s="44"/>
      <c r="CH81" s="45"/>
      <c r="CI81" s="44"/>
      <c r="CJ81" s="112" t="str">
        <f>REPLACE(INDEX(GroupVertices[Group],MATCH("~"&amp;Vertices[[#This Row],[Vertex]],GroupVertices[Vertex],0)),1,1,"")</f>
        <v>1</v>
      </c>
      <c r="CK81" s="44"/>
      <c r="CL81" s="44"/>
      <c r="CM81" s="44"/>
      <c r="CN81" s="44"/>
      <c r="CO81" s="2"/>
    </row>
    <row r="82" spans="1:93" ht="41.45" customHeight="1">
      <c r="A82" s="59" t="s">
        <v>436</v>
      </c>
      <c r="C82" s="60"/>
      <c r="D82" s="60" t="s">
        <v>64</v>
      </c>
      <c r="E82" s="61">
        <v>1.5</v>
      </c>
      <c r="F82" s="63"/>
      <c r="G82" s="92" t="str">
        <f>HYPERLINK("https://pbs.twimg.com/profile_images/446146571470503936/3mIrQ6rA_normal.jpeg")</f>
        <v>https://pbs.twimg.com/profile_images/446146571470503936/3mIrQ6rA_normal.jpeg</v>
      </c>
      <c r="H82" s="60"/>
      <c r="I82" s="64" t="str">
        <f>Vertices[[#This Row],[Vertex]]</f>
        <v>ilham2504</v>
      </c>
      <c r="J82" s="65"/>
      <c r="K82" s="65"/>
      <c r="L82" s="64"/>
      <c r="M82" s="68"/>
      <c r="N82" s="69">
        <v>1384.15380859375</v>
      </c>
      <c r="O82" s="69">
        <v>5762.41259765625</v>
      </c>
      <c r="P82" s="70"/>
      <c r="Q82" s="71"/>
      <c r="R82" s="71"/>
      <c r="S82" s="78"/>
      <c r="T82" s="44">
        <v>1</v>
      </c>
      <c r="U82" s="44">
        <v>0</v>
      </c>
      <c r="V82" s="45">
        <v>0</v>
      </c>
      <c r="W82" s="45">
        <v>0.108923</v>
      </c>
      <c r="X82" s="45">
        <v>0.149931</v>
      </c>
      <c r="Y82" s="45">
        <v>0.00337</v>
      </c>
      <c r="Z82" s="45">
        <v>0</v>
      </c>
      <c r="AA82" s="45">
        <v>0</v>
      </c>
      <c r="AB82" s="66">
        <v>82</v>
      </c>
      <c r="AC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2" s="67"/>
      <c r="AE82" t="s">
        <v>1702</v>
      </c>
      <c r="AF82" s="74" t="s">
        <v>1869</v>
      </c>
      <c r="AG82">
        <v>5374</v>
      </c>
      <c r="AH82">
        <v>5905</v>
      </c>
      <c r="AI82">
        <v>8741</v>
      </c>
      <c r="AJ82">
        <v>0</v>
      </c>
      <c r="AK82">
        <v>26946</v>
      </c>
      <c r="AL82">
        <v>788</v>
      </c>
      <c r="AM82" t="b">
        <v>0</v>
      </c>
      <c r="AN82" s="73">
        <v>41570.62731481482</v>
      </c>
      <c r="AP82" t="s">
        <v>2171</v>
      </c>
      <c r="AW82">
        <v>1.4132784741486E+18</v>
      </c>
      <c r="AY82" t="b">
        <v>0</v>
      </c>
      <c r="BB82" t="b">
        <v>1</v>
      </c>
      <c r="BC82" t="b">
        <v>0</v>
      </c>
      <c r="BD82" t="b">
        <v>1</v>
      </c>
      <c r="BE82" t="b">
        <v>0</v>
      </c>
      <c r="BF82" t="b">
        <v>1</v>
      </c>
      <c r="BG82" t="b">
        <v>0</v>
      </c>
      <c r="BH82" t="b">
        <v>0</v>
      </c>
      <c r="BK82" t="s">
        <v>2343</v>
      </c>
      <c r="BL82" t="b">
        <v>0</v>
      </c>
      <c r="BN82" t="s">
        <v>65</v>
      </c>
      <c r="BO82" t="s">
        <v>2345</v>
      </c>
      <c r="BP82" s="76" t="str">
        <f>HYPERLINK("https://twitter.com/ilham2504")</f>
        <v>https://twitter.com/ilham2504</v>
      </c>
      <c r="BQ82" s="44"/>
      <c r="BR82" s="44"/>
      <c r="BS82" s="44"/>
      <c r="BT82" s="44"/>
      <c r="BU82" s="44"/>
      <c r="BV82" s="44"/>
      <c r="BW82" s="44"/>
      <c r="BX82" s="44"/>
      <c r="BY82" s="44"/>
      <c r="BZ82" s="44"/>
      <c r="CA82" s="44"/>
      <c r="CB82" s="45"/>
      <c r="CC82" s="44"/>
      <c r="CD82" s="45"/>
      <c r="CE82" s="44"/>
      <c r="CF82" s="45"/>
      <c r="CG82" s="44"/>
      <c r="CH82" s="45"/>
      <c r="CI82" s="44"/>
      <c r="CJ82" s="112" t="str">
        <f>REPLACE(INDEX(GroupVertices[Group],MATCH("~"&amp;Vertices[[#This Row],[Vertex]],GroupVertices[Vertex],0)),1,1,"")</f>
        <v>1</v>
      </c>
      <c r="CK82" s="44"/>
      <c r="CL82" s="44"/>
      <c r="CM82" s="44"/>
      <c r="CN82" s="44"/>
      <c r="CO82" s="2"/>
    </row>
    <row r="83" spans="1:93" ht="41.45" customHeight="1">
      <c r="A83" s="59" t="s">
        <v>453</v>
      </c>
      <c r="C83" s="60"/>
      <c r="D83" s="60" t="s">
        <v>64</v>
      </c>
      <c r="E83" s="61">
        <v>1.5</v>
      </c>
      <c r="F83" s="63"/>
      <c r="G83" s="92" t="str">
        <f>HYPERLINK("https://pbs.twimg.com/profile_images/1681214200633520129/01Cab2lb_normal.jpg")</f>
        <v>https://pbs.twimg.com/profile_images/1681214200633520129/01Cab2lb_normal.jpg</v>
      </c>
      <c r="H83" s="60"/>
      <c r="I83" s="64" t="str">
        <f>Vertices[[#This Row],[Vertex]]</f>
        <v>ikotjo2</v>
      </c>
      <c r="J83" s="65"/>
      <c r="K83" s="65"/>
      <c r="L83" s="64"/>
      <c r="M83" s="68"/>
      <c r="N83" s="69">
        <v>771.4618530273438</v>
      </c>
      <c r="O83" s="69">
        <v>7689.69384765625</v>
      </c>
      <c r="P83" s="70"/>
      <c r="Q83" s="71"/>
      <c r="R83" s="71"/>
      <c r="S83" s="78"/>
      <c r="T83" s="44">
        <v>1</v>
      </c>
      <c r="U83" s="44">
        <v>0</v>
      </c>
      <c r="V83" s="45">
        <v>0</v>
      </c>
      <c r="W83" s="45">
        <v>0.108923</v>
      </c>
      <c r="X83" s="45">
        <v>0.149931</v>
      </c>
      <c r="Y83" s="45">
        <v>0.00337</v>
      </c>
      <c r="Z83" s="45">
        <v>0</v>
      </c>
      <c r="AA83" s="45">
        <v>0</v>
      </c>
      <c r="AB83" s="66">
        <v>83</v>
      </c>
      <c r="AC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3" s="67"/>
      <c r="AE83" t="s">
        <v>1719</v>
      </c>
      <c r="AF83" s="74" t="s">
        <v>1886</v>
      </c>
      <c r="AG83">
        <v>4869</v>
      </c>
      <c r="AH83">
        <v>4887</v>
      </c>
      <c r="AI83">
        <v>8267</v>
      </c>
      <c r="AJ83">
        <v>0</v>
      </c>
      <c r="AK83">
        <v>5777</v>
      </c>
      <c r="AL83">
        <v>88</v>
      </c>
      <c r="AM83" t="b">
        <v>0</v>
      </c>
      <c r="AN83" s="73">
        <v>44825.54840277778</v>
      </c>
      <c r="AO83" t="s">
        <v>1991</v>
      </c>
      <c r="AP83" t="s">
        <v>2184</v>
      </c>
      <c r="AY83" t="b">
        <v>0</v>
      </c>
      <c r="BB83" t="b">
        <v>0</v>
      </c>
      <c r="BC83" t="b">
        <v>0</v>
      </c>
      <c r="BD83" t="b">
        <v>1</v>
      </c>
      <c r="BE83" t="b">
        <v>0</v>
      </c>
      <c r="BF83" t="b">
        <v>0</v>
      </c>
      <c r="BG83" t="b">
        <v>0</v>
      </c>
      <c r="BH83" t="b">
        <v>0</v>
      </c>
      <c r="BI83" s="76" t="str">
        <f>HYPERLINK("https://pbs.twimg.com/profile_banners/1572573613626372096/1669841029")</f>
        <v>https://pbs.twimg.com/profile_banners/1572573613626372096/1669841029</v>
      </c>
      <c r="BK83" t="s">
        <v>2343</v>
      </c>
      <c r="BL83" t="b">
        <v>0</v>
      </c>
      <c r="BN83" t="s">
        <v>65</v>
      </c>
      <c r="BO83" t="s">
        <v>2345</v>
      </c>
      <c r="BP83" s="76" t="str">
        <f>HYPERLINK("https://twitter.com/ikotjo2")</f>
        <v>https://twitter.com/ikotjo2</v>
      </c>
      <c r="BQ83" s="44"/>
      <c r="BR83" s="44"/>
      <c r="BS83" s="44"/>
      <c r="BT83" s="44"/>
      <c r="BU83" s="44"/>
      <c r="BV83" s="44"/>
      <c r="BW83" s="44"/>
      <c r="BX83" s="44"/>
      <c r="BY83" s="44"/>
      <c r="BZ83" s="44"/>
      <c r="CA83" s="44"/>
      <c r="CB83" s="45"/>
      <c r="CC83" s="44"/>
      <c r="CD83" s="45"/>
      <c r="CE83" s="44"/>
      <c r="CF83" s="45"/>
      <c r="CG83" s="44"/>
      <c r="CH83" s="45"/>
      <c r="CI83" s="44"/>
      <c r="CJ83" s="112" t="str">
        <f>REPLACE(INDEX(GroupVertices[Group],MATCH("~"&amp;Vertices[[#This Row],[Vertex]],GroupVertices[Vertex],0)),1,1,"")</f>
        <v>1</v>
      </c>
      <c r="CK83" s="44"/>
      <c r="CL83" s="44"/>
      <c r="CM83" s="44"/>
      <c r="CN83" s="44"/>
      <c r="CO83" s="2"/>
    </row>
    <row r="84" spans="1:93" ht="41.45" customHeight="1">
      <c r="A84" s="59" t="s">
        <v>461</v>
      </c>
      <c r="C84" s="60"/>
      <c r="D84" s="60" t="s">
        <v>64</v>
      </c>
      <c r="E84" s="61">
        <v>1.5</v>
      </c>
      <c r="F84" s="63"/>
      <c r="G84" s="92" t="str">
        <f>HYPERLINK("https://pbs.twimg.com/profile_images/1647067212384182274/xmnF93JU_normal.jpg")</f>
        <v>https://pbs.twimg.com/profile_images/1647067212384182274/xmnF93JU_normal.jpg</v>
      </c>
      <c r="H84" s="60"/>
      <c r="I84" s="64" t="str">
        <f>Vertices[[#This Row],[Vertex]]</f>
        <v>sanusiundins</v>
      </c>
      <c r="J84" s="65"/>
      <c r="K84" s="65"/>
      <c r="L84" s="64"/>
      <c r="M84" s="68"/>
      <c r="N84" s="69">
        <v>361.0702209472656</v>
      </c>
      <c r="O84" s="69">
        <v>2625.834228515625</v>
      </c>
      <c r="P84" s="70"/>
      <c r="Q84" s="71"/>
      <c r="R84" s="71"/>
      <c r="S84" s="78"/>
      <c r="T84" s="44">
        <v>1</v>
      </c>
      <c r="U84" s="44">
        <v>0</v>
      </c>
      <c r="V84" s="45">
        <v>0</v>
      </c>
      <c r="W84" s="45">
        <v>0.108923</v>
      </c>
      <c r="X84" s="45">
        <v>0.149931</v>
      </c>
      <c r="Y84" s="45">
        <v>0.00337</v>
      </c>
      <c r="Z84" s="45">
        <v>0</v>
      </c>
      <c r="AA84" s="45">
        <v>0</v>
      </c>
      <c r="AB84" s="66">
        <v>84</v>
      </c>
      <c r="AC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4" s="67"/>
      <c r="AE84" t="s">
        <v>1727</v>
      </c>
      <c r="AF84" s="74" t="s">
        <v>1894</v>
      </c>
      <c r="AG84">
        <v>4512</v>
      </c>
      <c r="AH84">
        <v>4124</v>
      </c>
      <c r="AI84">
        <v>15632</v>
      </c>
      <c r="AJ84">
        <v>0</v>
      </c>
      <c r="AK84">
        <v>17550</v>
      </c>
      <c r="AL84">
        <v>772</v>
      </c>
      <c r="AM84" t="b">
        <v>0</v>
      </c>
      <c r="AN84" s="73">
        <v>44373.50030092592</v>
      </c>
      <c r="AP84" t="s">
        <v>2193</v>
      </c>
      <c r="AW84">
        <v>1.64358355363103E+18</v>
      </c>
      <c r="AY84" t="b">
        <v>0</v>
      </c>
      <c r="BB84" t="b">
        <v>0</v>
      </c>
      <c r="BC84" t="b">
        <v>1</v>
      </c>
      <c r="BD84" t="b">
        <v>1</v>
      </c>
      <c r="BE84" t="b">
        <v>0</v>
      </c>
      <c r="BF84" t="b">
        <v>0</v>
      </c>
      <c r="BG84" t="b">
        <v>0</v>
      </c>
      <c r="BH84" t="b">
        <v>0</v>
      </c>
      <c r="BI84" s="76" t="str">
        <f>HYPERLINK("https://pbs.twimg.com/profile_banners/1408756945591291907/1629538062")</f>
        <v>https://pbs.twimg.com/profile_banners/1408756945591291907/1629538062</v>
      </c>
      <c r="BK84" t="s">
        <v>2343</v>
      </c>
      <c r="BL84" t="b">
        <v>0</v>
      </c>
      <c r="BN84" t="s">
        <v>65</v>
      </c>
      <c r="BO84" t="s">
        <v>2345</v>
      </c>
      <c r="BP84" s="76" t="str">
        <f>HYPERLINK("https://twitter.com/sanusiundins")</f>
        <v>https://twitter.com/sanusiundins</v>
      </c>
      <c r="BQ84" s="44"/>
      <c r="BR84" s="44"/>
      <c r="BS84" s="44"/>
      <c r="BT84" s="44"/>
      <c r="BU84" s="44"/>
      <c r="BV84" s="44"/>
      <c r="BW84" s="44"/>
      <c r="BX84" s="44"/>
      <c r="BY84" s="44"/>
      <c r="BZ84" s="44"/>
      <c r="CA84" s="44"/>
      <c r="CB84" s="45"/>
      <c r="CC84" s="44"/>
      <c r="CD84" s="45"/>
      <c r="CE84" s="44"/>
      <c r="CF84" s="45"/>
      <c r="CG84" s="44"/>
      <c r="CH84" s="45"/>
      <c r="CI84" s="44"/>
      <c r="CJ84" s="112" t="str">
        <f>REPLACE(INDEX(GroupVertices[Group],MATCH("~"&amp;Vertices[[#This Row],[Vertex]],GroupVertices[Vertex],0)),1,1,"")</f>
        <v>1</v>
      </c>
      <c r="CK84" s="44"/>
      <c r="CL84" s="44"/>
      <c r="CM84" s="44"/>
      <c r="CN84" s="44"/>
      <c r="CO84" s="2"/>
    </row>
    <row r="85" spans="1:93" ht="41.45" customHeight="1">
      <c r="A85" s="59" t="s">
        <v>430</v>
      </c>
      <c r="C85" s="60"/>
      <c r="D85" s="60" t="s">
        <v>64</v>
      </c>
      <c r="E85" s="61">
        <v>1.5</v>
      </c>
      <c r="F85" s="63"/>
      <c r="G85" s="92" t="str">
        <f>HYPERLINK("https://pbs.twimg.com/profile_images/1450991771358425092/I5fRlNZ4_normal.jpg")</f>
        <v>https://pbs.twimg.com/profile_images/1450991771358425092/I5fRlNZ4_normal.jpg</v>
      </c>
      <c r="H85" s="60"/>
      <c r="I85" s="64" t="str">
        <f>Vertices[[#This Row],[Vertex]]</f>
        <v>jamlean_saleh</v>
      </c>
      <c r="J85" s="65"/>
      <c r="K85" s="65"/>
      <c r="L85" s="64"/>
      <c r="M85" s="68"/>
      <c r="N85" s="69">
        <v>1157.623291015625</v>
      </c>
      <c r="O85" s="69">
        <v>6836.22314453125</v>
      </c>
      <c r="P85" s="70"/>
      <c r="Q85" s="71"/>
      <c r="R85" s="71"/>
      <c r="S85" s="78"/>
      <c r="T85" s="44">
        <v>1</v>
      </c>
      <c r="U85" s="44">
        <v>0</v>
      </c>
      <c r="V85" s="45">
        <v>0</v>
      </c>
      <c r="W85" s="45">
        <v>0.108923</v>
      </c>
      <c r="X85" s="45">
        <v>0.149931</v>
      </c>
      <c r="Y85" s="45">
        <v>0.00337</v>
      </c>
      <c r="Z85" s="45">
        <v>0</v>
      </c>
      <c r="AA85" s="45">
        <v>0</v>
      </c>
      <c r="AB85" s="66">
        <v>85</v>
      </c>
      <c r="AC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5" s="67"/>
      <c r="AE85" t="s">
        <v>1696</v>
      </c>
      <c r="AF85" s="74" t="s">
        <v>1863</v>
      </c>
      <c r="AG85">
        <v>4493</v>
      </c>
      <c r="AH85">
        <v>4763</v>
      </c>
      <c r="AI85">
        <v>53761</v>
      </c>
      <c r="AJ85">
        <v>0</v>
      </c>
      <c r="AK85">
        <v>45627</v>
      </c>
      <c r="AL85">
        <v>239</v>
      </c>
      <c r="AM85" t="b">
        <v>0</v>
      </c>
      <c r="AN85" s="73">
        <v>43547.14041666667</v>
      </c>
      <c r="AO85" t="s">
        <v>1983</v>
      </c>
      <c r="AP85" t="s">
        <v>2166</v>
      </c>
      <c r="AY85" t="b">
        <v>0</v>
      </c>
      <c r="BB85" t="b">
        <v>1</v>
      </c>
      <c r="BC85" t="b">
        <v>0</v>
      </c>
      <c r="BD85" t="b">
        <v>1</v>
      </c>
      <c r="BE85" t="b">
        <v>0</v>
      </c>
      <c r="BF85" t="b">
        <v>1</v>
      </c>
      <c r="BG85" t="b">
        <v>0</v>
      </c>
      <c r="BH85" t="b">
        <v>0</v>
      </c>
      <c r="BI85" s="76" t="str">
        <f>HYPERLINK("https://pbs.twimg.com/profile_banners/1109294246387814401/1623136731")</f>
        <v>https://pbs.twimg.com/profile_banners/1109294246387814401/1623136731</v>
      </c>
      <c r="BK85" t="s">
        <v>2343</v>
      </c>
      <c r="BL85" t="b">
        <v>0</v>
      </c>
      <c r="BN85" t="s">
        <v>65</v>
      </c>
      <c r="BO85" t="s">
        <v>2345</v>
      </c>
      <c r="BP85" s="76" t="str">
        <f>HYPERLINK("https://twitter.com/jamlean_saleh")</f>
        <v>https://twitter.com/jamlean_saleh</v>
      </c>
      <c r="BQ85" s="44"/>
      <c r="BR85" s="44"/>
      <c r="BS85" s="44"/>
      <c r="BT85" s="44"/>
      <c r="BU85" s="44"/>
      <c r="BV85" s="44"/>
      <c r="BW85" s="44"/>
      <c r="BX85" s="44"/>
      <c r="BY85" s="44"/>
      <c r="BZ85" s="44"/>
      <c r="CA85" s="44"/>
      <c r="CB85" s="45"/>
      <c r="CC85" s="44"/>
      <c r="CD85" s="45"/>
      <c r="CE85" s="44"/>
      <c r="CF85" s="45"/>
      <c r="CG85" s="44"/>
      <c r="CH85" s="45"/>
      <c r="CI85" s="44"/>
      <c r="CJ85" s="112" t="str">
        <f>REPLACE(INDEX(GroupVertices[Group],MATCH("~"&amp;Vertices[[#This Row],[Vertex]],GroupVertices[Vertex],0)),1,1,"")</f>
        <v>1</v>
      </c>
      <c r="CK85" s="44"/>
      <c r="CL85" s="44"/>
      <c r="CM85" s="44"/>
      <c r="CN85" s="44"/>
      <c r="CO85" s="2"/>
    </row>
    <row r="86" spans="1:93" ht="41.45" customHeight="1">
      <c r="A86" s="59" t="s">
        <v>440</v>
      </c>
      <c r="C86" s="60"/>
      <c r="D86" s="60" t="s">
        <v>64</v>
      </c>
      <c r="E86" s="61">
        <v>1.5</v>
      </c>
      <c r="F86" s="63"/>
      <c r="G86" s="92" t="str">
        <f>HYPERLINK("https://pbs.twimg.com/profile_images/1598580933577560065/k4VK-8Zx_normal.jpg")</f>
        <v>https://pbs.twimg.com/profile_images/1598580933577560065/k4VK-8Zx_normal.jpg</v>
      </c>
      <c r="H86" s="60"/>
      <c r="I86" s="64" t="str">
        <f>Vertices[[#This Row],[Vertex]]</f>
        <v>januar_malki</v>
      </c>
      <c r="J86" s="65"/>
      <c r="K86" s="65"/>
      <c r="L86" s="64"/>
      <c r="M86" s="68"/>
      <c r="N86" s="69">
        <v>557.7144165039062</v>
      </c>
      <c r="O86" s="69">
        <v>2579.952392578125</v>
      </c>
      <c r="P86" s="70"/>
      <c r="Q86" s="71"/>
      <c r="R86" s="71"/>
      <c r="S86" s="78"/>
      <c r="T86" s="44">
        <v>1</v>
      </c>
      <c r="U86" s="44">
        <v>0</v>
      </c>
      <c r="V86" s="45">
        <v>0</v>
      </c>
      <c r="W86" s="45">
        <v>0.108923</v>
      </c>
      <c r="X86" s="45">
        <v>0.149931</v>
      </c>
      <c r="Y86" s="45">
        <v>0.00337</v>
      </c>
      <c r="Z86" s="45">
        <v>0</v>
      </c>
      <c r="AA86" s="45">
        <v>0</v>
      </c>
      <c r="AB86" s="66">
        <v>86</v>
      </c>
      <c r="AC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6" s="67"/>
      <c r="AE86" t="s">
        <v>1706</v>
      </c>
      <c r="AF86" s="74" t="s">
        <v>1873</v>
      </c>
      <c r="AG86">
        <v>4107</v>
      </c>
      <c r="AH86">
        <v>4323</v>
      </c>
      <c r="AI86">
        <v>14078</v>
      </c>
      <c r="AJ86">
        <v>0</v>
      </c>
      <c r="AK86">
        <v>23920</v>
      </c>
      <c r="AL86">
        <v>547</v>
      </c>
      <c r="AM86" t="b">
        <v>0</v>
      </c>
      <c r="AN86" s="73">
        <v>43972.1234837963</v>
      </c>
      <c r="AP86" t="s">
        <v>2174</v>
      </c>
      <c r="AY86" t="b">
        <v>0</v>
      </c>
      <c r="BB86" t="b">
        <v>0</v>
      </c>
      <c r="BC86" t="b">
        <v>1</v>
      </c>
      <c r="BD86" t="b">
        <v>1</v>
      </c>
      <c r="BE86" t="b">
        <v>0</v>
      </c>
      <c r="BF86" t="b">
        <v>1</v>
      </c>
      <c r="BG86" t="b">
        <v>0</v>
      </c>
      <c r="BH86" t="b">
        <v>1</v>
      </c>
      <c r="BI86" s="76" t="str">
        <f>HYPERLINK("https://pbs.twimg.com/profile_banners/1263302861686882310/1628144145")</f>
        <v>https://pbs.twimg.com/profile_banners/1263302861686882310/1628144145</v>
      </c>
      <c r="BK86" t="s">
        <v>2343</v>
      </c>
      <c r="BL86" t="b">
        <v>0</v>
      </c>
      <c r="BN86" t="s">
        <v>65</v>
      </c>
      <c r="BO86" t="s">
        <v>2345</v>
      </c>
      <c r="BP86" s="76" t="str">
        <f>HYPERLINK("https://twitter.com/januar_malki")</f>
        <v>https://twitter.com/januar_malki</v>
      </c>
      <c r="BQ86" s="44"/>
      <c r="BR86" s="44"/>
      <c r="BS86" s="44"/>
      <c r="BT86" s="44"/>
      <c r="BU86" s="44"/>
      <c r="BV86" s="44"/>
      <c r="BW86" s="44"/>
      <c r="BX86" s="44"/>
      <c r="BY86" s="44"/>
      <c r="BZ86" s="44"/>
      <c r="CA86" s="44"/>
      <c r="CB86" s="45"/>
      <c r="CC86" s="44"/>
      <c r="CD86" s="45"/>
      <c r="CE86" s="44"/>
      <c r="CF86" s="45"/>
      <c r="CG86" s="44"/>
      <c r="CH86" s="45"/>
      <c r="CI86" s="44"/>
      <c r="CJ86" s="112" t="str">
        <f>REPLACE(INDEX(GroupVertices[Group],MATCH("~"&amp;Vertices[[#This Row],[Vertex]],GroupVertices[Vertex],0)),1,1,"")</f>
        <v>1</v>
      </c>
      <c r="CK86" s="44"/>
      <c r="CL86" s="44"/>
      <c r="CM86" s="44"/>
      <c r="CN86" s="44"/>
      <c r="CO86" s="2"/>
    </row>
    <row r="87" spans="1:93" ht="41.45" customHeight="1">
      <c r="A87" s="59" t="s">
        <v>457</v>
      </c>
      <c r="C87" s="60"/>
      <c r="D87" s="60" t="s">
        <v>64</v>
      </c>
      <c r="E87" s="61">
        <v>1.5</v>
      </c>
      <c r="F87" s="63"/>
      <c r="G87" s="92" t="str">
        <f>HYPERLINK("https://pbs.twimg.com/profile_images/1724908427179372544/3xJczMKE_normal.jpg")</f>
        <v>https://pbs.twimg.com/profile_images/1724908427179372544/3xJczMKE_normal.jpg</v>
      </c>
      <c r="H87" s="60"/>
      <c r="I87" s="64" t="str">
        <f>Vertices[[#This Row],[Vertex]]</f>
        <v>belangtiga</v>
      </c>
      <c r="J87" s="65"/>
      <c r="K87" s="65"/>
      <c r="L87" s="64"/>
      <c r="M87" s="68"/>
      <c r="N87" s="69">
        <v>1269.0084228515625</v>
      </c>
      <c r="O87" s="69">
        <v>2306.280517578125</v>
      </c>
      <c r="P87" s="70"/>
      <c r="Q87" s="71"/>
      <c r="R87" s="71"/>
      <c r="S87" s="78"/>
      <c r="T87" s="44">
        <v>1</v>
      </c>
      <c r="U87" s="44">
        <v>0</v>
      </c>
      <c r="V87" s="45">
        <v>0</v>
      </c>
      <c r="W87" s="45">
        <v>0.108923</v>
      </c>
      <c r="X87" s="45">
        <v>0.149931</v>
      </c>
      <c r="Y87" s="45">
        <v>0.00337</v>
      </c>
      <c r="Z87" s="45">
        <v>0</v>
      </c>
      <c r="AA87" s="45">
        <v>0</v>
      </c>
      <c r="AB87" s="66">
        <v>87</v>
      </c>
      <c r="AC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7" s="67"/>
      <c r="AE87" t="s">
        <v>1723</v>
      </c>
      <c r="AF87" s="74" t="s">
        <v>1890</v>
      </c>
      <c r="AG87">
        <v>4085</v>
      </c>
      <c r="AH87">
        <v>4843</v>
      </c>
      <c r="AI87">
        <v>28318</v>
      </c>
      <c r="AJ87">
        <v>0</v>
      </c>
      <c r="AK87">
        <v>219931</v>
      </c>
      <c r="AL87">
        <v>24</v>
      </c>
      <c r="AM87" t="b">
        <v>0</v>
      </c>
      <c r="AN87" s="73">
        <v>43386.52340277778</v>
      </c>
      <c r="AP87" t="s">
        <v>2188</v>
      </c>
      <c r="AY87" t="b">
        <v>0</v>
      </c>
      <c r="BB87" t="b">
        <v>0</v>
      </c>
      <c r="BC87" t="b">
        <v>1</v>
      </c>
      <c r="BD87" t="b">
        <v>1</v>
      </c>
      <c r="BE87" t="b">
        <v>0</v>
      </c>
      <c r="BF87" t="b">
        <v>1</v>
      </c>
      <c r="BG87" t="b">
        <v>0</v>
      </c>
      <c r="BH87" t="b">
        <v>0</v>
      </c>
      <c r="BI87" s="76" t="str">
        <f>HYPERLINK("https://pbs.twimg.com/profile_banners/1051088588400553985/1700085339")</f>
        <v>https://pbs.twimg.com/profile_banners/1051088588400553985/1700085339</v>
      </c>
      <c r="BK87" t="s">
        <v>2343</v>
      </c>
      <c r="BL87" t="b">
        <v>0</v>
      </c>
      <c r="BN87" t="s">
        <v>65</v>
      </c>
      <c r="BO87" t="s">
        <v>2345</v>
      </c>
      <c r="BP87" s="76" t="str">
        <f>HYPERLINK("https://twitter.com/belangtiga")</f>
        <v>https://twitter.com/belangtiga</v>
      </c>
      <c r="BQ87" s="44"/>
      <c r="BR87" s="44"/>
      <c r="BS87" s="44"/>
      <c r="BT87" s="44"/>
      <c r="BU87" s="44"/>
      <c r="BV87" s="44"/>
      <c r="BW87" s="44"/>
      <c r="BX87" s="44"/>
      <c r="BY87" s="44"/>
      <c r="BZ87" s="44"/>
      <c r="CA87" s="44"/>
      <c r="CB87" s="45"/>
      <c r="CC87" s="44"/>
      <c r="CD87" s="45"/>
      <c r="CE87" s="44"/>
      <c r="CF87" s="45"/>
      <c r="CG87" s="44"/>
      <c r="CH87" s="45"/>
      <c r="CI87" s="44"/>
      <c r="CJ87" s="112" t="str">
        <f>REPLACE(INDEX(GroupVertices[Group],MATCH("~"&amp;Vertices[[#This Row],[Vertex]],GroupVertices[Vertex],0)),1,1,"")</f>
        <v>1</v>
      </c>
      <c r="CK87" s="44"/>
      <c r="CL87" s="44"/>
      <c r="CM87" s="44"/>
      <c r="CN87" s="44"/>
      <c r="CO87" s="2"/>
    </row>
    <row r="88" spans="1:93" ht="41.45" customHeight="1">
      <c r="A88" s="59" t="s">
        <v>460</v>
      </c>
      <c r="C88" s="60"/>
      <c r="D88" s="60" t="s">
        <v>64</v>
      </c>
      <c r="E88" s="61">
        <v>1.5</v>
      </c>
      <c r="F88" s="63"/>
      <c r="G88" s="92" t="str">
        <f>HYPERLINK("https://pbs.twimg.com/profile_images/1691941052490592256/m_wpWE4y_normal.jpg")</f>
        <v>https://pbs.twimg.com/profile_images/1691941052490592256/m_wpWE4y_normal.jpg</v>
      </c>
      <c r="H88" s="60"/>
      <c r="I88" s="64" t="str">
        <f>Vertices[[#This Row],[Vertex]]</f>
        <v>ikotjo22</v>
      </c>
      <c r="J88" s="65"/>
      <c r="K88" s="65"/>
      <c r="L88" s="64"/>
      <c r="M88" s="68"/>
      <c r="N88" s="69">
        <v>765.9112548828125</v>
      </c>
      <c r="O88" s="69">
        <v>9323.3916015625</v>
      </c>
      <c r="P88" s="70"/>
      <c r="Q88" s="71"/>
      <c r="R88" s="71"/>
      <c r="S88" s="78"/>
      <c r="T88" s="44">
        <v>1</v>
      </c>
      <c r="U88" s="44">
        <v>0</v>
      </c>
      <c r="V88" s="45">
        <v>0</v>
      </c>
      <c r="W88" s="45">
        <v>0.108923</v>
      </c>
      <c r="X88" s="45">
        <v>0.149931</v>
      </c>
      <c r="Y88" s="45">
        <v>0.00337</v>
      </c>
      <c r="Z88" s="45">
        <v>0</v>
      </c>
      <c r="AA88" s="45">
        <v>0</v>
      </c>
      <c r="AB88" s="66">
        <v>88</v>
      </c>
      <c r="AC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8" s="67"/>
      <c r="AE88" t="s">
        <v>1719</v>
      </c>
      <c r="AF88" s="74" t="s">
        <v>1893</v>
      </c>
      <c r="AG88">
        <v>4072</v>
      </c>
      <c r="AH88">
        <v>4169</v>
      </c>
      <c r="AI88">
        <v>7030</v>
      </c>
      <c r="AJ88">
        <v>0</v>
      </c>
      <c r="AK88">
        <v>5195</v>
      </c>
      <c r="AL88">
        <v>42</v>
      </c>
      <c r="AM88" t="b">
        <v>0</v>
      </c>
      <c r="AN88" s="73">
        <v>44822.49443287037</v>
      </c>
      <c r="AO88" t="s">
        <v>1993</v>
      </c>
      <c r="AP88" t="s">
        <v>2191</v>
      </c>
      <c r="AY88" t="b">
        <v>0</v>
      </c>
      <c r="BB88" t="b">
        <v>0</v>
      </c>
      <c r="BC88" t="b">
        <v>0</v>
      </c>
      <c r="BD88" t="b">
        <v>1</v>
      </c>
      <c r="BE88" t="b">
        <v>0</v>
      </c>
      <c r="BF88" t="b">
        <v>0</v>
      </c>
      <c r="BG88" t="b">
        <v>0</v>
      </c>
      <c r="BH88" t="b">
        <v>0</v>
      </c>
      <c r="BI88" s="76" t="str">
        <f>HYPERLINK("https://pbs.twimg.com/profile_banners/1571466725895573504/1675086880")</f>
        <v>https://pbs.twimg.com/profile_banners/1571466725895573504/1675086880</v>
      </c>
      <c r="BK88" t="s">
        <v>2343</v>
      </c>
      <c r="BL88" t="b">
        <v>0</v>
      </c>
      <c r="BN88" t="s">
        <v>65</v>
      </c>
      <c r="BO88" t="s">
        <v>2345</v>
      </c>
      <c r="BP88" s="76" t="str">
        <f>HYPERLINK("https://twitter.com/ikotjo22")</f>
        <v>https://twitter.com/ikotjo22</v>
      </c>
      <c r="BQ88" s="44"/>
      <c r="BR88" s="44"/>
      <c r="BS88" s="44"/>
      <c r="BT88" s="44"/>
      <c r="BU88" s="44"/>
      <c r="BV88" s="44"/>
      <c r="BW88" s="44"/>
      <c r="BX88" s="44"/>
      <c r="BY88" s="44"/>
      <c r="BZ88" s="44"/>
      <c r="CA88" s="44"/>
      <c r="CB88" s="45"/>
      <c r="CC88" s="44"/>
      <c r="CD88" s="45"/>
      <c r="CE88" s="44"/>
      <c r="CF88" s="45"/>
      <c r="CG88" s="44"/>
      <c r="CH88" s="45"/>
      <c r="CI88" s="44"/>
      <c r="CJ88" s="112" t="str">
        <f>REPLACE(INDEX(GroupVertices[Group],MATCH("~"&amp;Vertices[[#This Row],[Vertex]],GroupVertices[Vertex],0)),1,1,"")</f>
        <v>1</v>
      </c>
      <c r="CK88" s="44"/>
      <c r="CL88" s="44"/>
      <c r="CM88" s="44"/>
      <c r="CN88" s="44"/>
      <c r="CO88" s="2"/>
    </row>
    <row r="89" spans="1:93" ht="41.45" customHeight="1">
      <c r="A89" s="59" t="s">
        <v>456</v>
      </c>
      <c r="C89" s="60"/>
      <c r="D89" s="60" t="s">
        <v>64</v>
      </c>
      <c r="E89" s="61">
        <v>1.5</v>
      </c>
      <c r="F89" s="63"/>
      <c r="G89" s="92" t="str">
        <f>HYPERLINK("https://pbs.twimg.com/profile_images/1536260757079625728/PoJ3Jkp5_normal.jpg")</f>
        <v>https://pbs.twimg.com/profile_images/1536260757079625728/PoJ3Jkp5_normal.jpg</v>
      </c>
      <c r="H89" s="60"/>
      <c r="I89" s="64" t="str">
        <f>Vertices[[#This Row],[Vertex]]</f>
        <v>sholihaly</v>
      </c>
      <c r="J89" s="65"/>
      <c r="K89" s="65"/>
      <c r="L89" s="64"/>
      <c r="M89" s="68"/>
      <c r="N89" s="69">
        <v>742.2509765625</v>
      </c>
      <c r="O89" s="69">
        <v>4311.849609375</v>
      </c>
      <c r="P89" s="70"/>
      <c r="Q89" s="71"/>
      <c r="R89" s="71"/>
      <c r="S89" s="78"/>
      <c r="T89" s="44">
        <v>1</v>
      </c>
      <c r="U89" s="44">
        <v>0</v>
      </c>
      <c r="V89" s="45">
        <v>0</v>
      </c>
      <c r="W89" s="45">
        <v>0.108923</v>
      </c>
      <c r="X89" s="45">
        <v>0.149931</v>
      </c>
      <c r="Y89" s="45">
        <v>0.00337</v>
      </c>
      <c r="Z89" s="45">
        <v>0</v>
      </c>
      <c r="AA89" s="45">
        <v>0</v>
      </c>
      <c r="AB89" s="66">
        <v>89</v>
      </c>
      <c r="AC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9" s="67"/>
      <c r="AE89" t="s">
        <v>1722</v>
      </c>
      <c r="AF89" s="74" t="s">
        <v>1889</v>
      </c>
      <c r="AG89">
        <v>4023</v>
      </c>
      <c r="AH89">
        <v>4334</v>
      </c>
      <c r="AI89">
        <v>6943</v>
      </c>
      <c r="AJ89">
        <v>1</v>
      </c>
      <c r="AK89">
        <v>10203</v>
      </c>
      <c r="AL89">
        <v>172</v>
      </c>
      <c r="AM89" t="b">
        <v>0</v>
      </c>
      <c r="AN89" s="73">
        <v>44616.279398148145</v>
      </c>
      <c r="AP89" t="s">
        <v>2187</v>
      </c>
      <c r="AY89" t="b">
        <v>0</v>
      </c>
      <c r="BB89" t="b">
        <v>0</v>
      </c>
      <c r="BC89" t="b">
        <v>1</v>
      </c>
      <c r="BD89" t="b">
        <v>1</v>
      </c>
      <c r="BE89" t="b">
        <v>0</v>
      </c>
      <c r="BF89" t="b">
        <v>0</v>
      </c>
      <c r="BG89" t="b">
        <v>0</v>
      </c>
      <c r="BH89" t="b">
        <v>0</v>
      </c>
      <c r="BK89" t="s">
        <v>2343</v>
      </c>
      <c r="BL89" t="b">
        <v>0</v>
      </c>
      <c r="BN89" t="s">
        <v>65</v>
      </c>
      <c r="BO89" t="s">
        <v>2345</v>
      </c>
      <c r="BP89" s="76" t="str">
        <f>HYPERLINK("https://twitter.com/sholihaly")</f>
        <v>https://twitter.com/sholihaly</v>
      </c>
      <c r="BQ89" s="44"/>
      <c r="BR89" s="44"/>
      <c r="BS89" s="44"/>
      <c r="BT89" s="44"/>
      <c r="BU89" s="44"/>
      <c r="BV89" s="44"/>
      <c r="BW89" s="44"/>
      <c r="BX89" s="44"/>
      <c r="BY89" s="44"/>
      <c r="BZ89" s="44"/>
      <c r="CA89" s="44"/>
      <c r="CB89" s="45"/>
      <c r="CC89" s="44"/>
      <c r="CD89" s="45"/>
      <c r="CE89" s="44"/>
      <c r="CF89" s="45"/>
      <c r="CG89" s="44"/>
      <c r="CH89" s="45"/>
      <c r="CI89" s="44"/>
      <c r="CJ89" s="112" t="str">
        <f>REPLACE(INDEX(GroupVertices[Group],MATCH("~"&amp;Vertices[[#This Row],[Vertex]],GroupVertices[Vertex],0)),1,1,"")</f>
        <v>1</v>
      </c>
      <c r="CK89" s="44"/>
      <c r="CL89" s="44"/>
      <c r="CM89" s="44"/>
      <c r="CN89" s="44"/>
      <c r="CO89" s="2"/>
    </row>
    <row r="90" spans="1:93" ht="41.45" customHeight="1">
      <c r="A90" s="59" t="s">
        <v>443</v>
      </c>
      <c r="C90" s="60"/>
      <c r="D90" s="60" t="s">
        <v>64</v>
      </c>
      <c r="E90" s="61">
        <v>1.5</v>
      </c>
      <c r="F90" s="63"/>
      <c r="G90" s="92" t="str">
        <f>HYPERLINK("https://pbs.twimg.com/profile_images/1085811117203410945/njNZ0d6v_normal.jpg")</f>
        <v>https://pbs.twimg.com/profile_images/1085811117203410945/njNZ0d6v_normal.jpg</v>
      </c>
      <c r="H90" s="60"/>
      <c r="I90" s="64" t="str">
        <f>Vertices[[#This Row],[Vertex]]</f>
        <v>anto1157</v>
      </c>
      <c r="J90" s="65"/>
      <c r="K90" s="65"/>
      <c r="L90" s="64"/>
      <c r="M90" s="68"/>
      <c r="N90" s="69">
        <v>804.6375122070312</v>
      </c>
      <c r="O90" s="69">
        <v>675.6094970703125</v>
      </c>
      <c r="P90" s="70"/>
      <c r="Q90" s="71"/>
      <c r="R90" s="71"/>
      <c r="S90" s="78"/>
      <c r="T90" s="44">
        <v>1</v>
      </c>
      <c r="U90" s="44">
        <v>0</v>
      </c>
      <c r="V90" s="45">
        <v>0</v>
      </c>
      <c r="W90" s="45">
        <v>0.108923</v>
      </c>
      <c r="X90" s="45">
        <v>0.149931</v>
      </c>
      <c r="Y90" s="45">
        <v>0.00337</v>
      </c>
      <c r="Z90" s="45">
        <v>0</v>
      </c>
      <c r="AA90" s="45">
        <v>0</v>
      </c>
      <c r="AB90" s="66">
        <v>90</v>
      </c>
      <c r="AC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0" s="67"/>
      <c r="AE90" t="s">
        <v>1709</v>
      </c>
      <c r="AF90" s="74" t="s">
        <v>1876</v>
      </c>
      <c r="AG90">
        <v>3732</v>
      </c>
      <c r="AH90">
        <v>3890</v>
      </c>
      <c r="AI90">
        <v>55198</v>
      </c>
      <c r="AJ90">
        <v>1</v>
      </c>
      <c r="AK90">
        <v>4334</v>
      </c>
      <c r="AL90">
        <v>1402</v>
      </c>
      <c r="AM90" t="b">
        <v>0</v>
      </c>
      <c r="AN90" s="73">
        <v>43482.33855324074</v>
      </c>
      <c r="AP90" t="s">
        <v>2177</v>
      </c>
      <c r="AY90" t="b">
        <v>0</v>
      </c>
      <c r="BB90" t="b">
        <v>0</v>
      </c>
      <c r="BC90" t="b">
        <v>1</v>
      </c>
      <c r="BD90" t="b">
        <v>1</v>
      </c>
      <c r="BE90" t="b">
        <v>0</v>
      </c>
      <c r="BF90" t="b">
        <v>1</v>
      </c>
      <c r="BG90" t="b">
        <v>0</v>
      </c>
      <c r="BH90" t="b">
        <v>0</v>
      </c>
      <c r="BK90" t="s">
        <v>2343</v>
      </c>
      <c r="BL90" t="b">
        <v>0</v>
      </c>
      <c r="BN90" t="s">
        <v>65</v>
      </c>
      <c r="BO90" t="s">
        <v>2345</v>
      </c>
      <c r="BP90" s="76" t="str">
        <f>HYPERLINK("https://twitter.com/anto1157")</f>
        <v>https://twitter.com/anto1157</v>
      </c>
      <c r="BQ90" s="44"/>
      <c r="BR90" s="44"/>
      <c r="BS90" s="44"/>
      <c r="BT90" s="44"/>
      <c r="BU90" s="44"/>
      <c r="BV90" s="44"/>
      <c r="BW90" s="44"/>
      <c r="BX90" s="44"/>
      <c r="BY90" s="44"/>
      <c r="BZ90" s="44"/>
      <c r="CA90" s="44"/>
      <c r="CB90" s="45"/>
      <c r="CC90" s="44"/>
      <c r="CD90" s="45"/>
      <c r="CE90" s="44"/>
      <c r="CF90" s="45"/>
      <c r="CG90" s="44"/>
      <c r="CH90" s="45"/>
      <c r="CI90" s="44"/>
      <c r="CJ90" s="112" t="str">
        <f>REPLACE(INDEX(GroupVertices[Group],MATCH("~"&amp;Vertices[[#This Row],[Vertex]],GroupVertices[Vertex],0)),1,1,"")</f>
        <v>1</v>
      </c>
      <c r="CK90" s="44"/>
      <c r="CL90" s="44"/>
      <c r="CM90" s="44"/>
      <c r="CN90" s="44"/>
      <c r="CO90" s="2"/>
    </row>
    <row r="91" spans="1:93" ht="41.45" customHeight="1">
      <c r="A91" s="59" t="s">
        <v>450</v>
      </c>
      <c r="C91" s="60"/>
      <c r="D91" s="60" t="s">
        <v>64</v>
      </c>
      <c r="E91" s="61">
        <v>1.5</v>
      </c>
      <c r="F91" s="63"/>
      <c r="G91" s="92" t="str">
        <f>HYPERLINK("https://pbs.twimg.com/profile_images/1565997192678060033/TJA8GeXR_normal.jpg")</f>
        <v>https://pbs.twimg.com/profile_images/1565997192678060033/TJA8GeXR_normal.jpg</v>
      </c>
      <c r="H91" s="60"/>
      <c r="I91" s="64" t="str">
        <f>Vertices[[#This Row],[Vertex]]</f>
        <v>f1rmanh</v>
      </c>
      <c r="J91" s="65"/>
      <c r="K91" s="65"/>
      <c r="L91" s="64"/>
      <c r="M91" s="68"/>
      <c r="N91" s="69">
        <v>418.35809326171875</v>
      </c>
      <c r="O91" s="69">
        <v>6051.91552734375</v>
      </c>
      <c r="P91" s="70"/>
      <c r="Q91" s="71"/>
      <c r="R91" s="71"/>
      <c r="S91" s="78"/>
      <c r="T91" s="44">
        <v>1</v>
      </c>
      <c r="U91" s="44">
        <v>0</v>
      </c>
      <c r="V91" s="45">
        <v>0</v>
      </c>
      <c r="W91" s="45">
        <v>0.108923</v>
      </c>
      <c r="X91" s="45">
        <v>0.149931</v>
      </c>
      <c r="Y91" s="45">
        <v>0.00337</v>
      </c>
      <c r="Z91" s="45">
        <v>0</v>
      </c>
      <c r="AA91" s="45">
        <v>0</v>
      </c>
      <c r="AB91" s="66">
        <v>91</v>
      </c>
      <c r="AC9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1" s="67"/>
      <c r="AE91" t="s">
        <v>1716</v>
      </c>
      <c r="AF91" s="74" t="s">
        <v>1883</v>
      </c>
      <c r="AG91">
        <v>3639</v>
      </c>
      <c r="AH91">
        <v>4292</v>
      </c>
      <c r="AI91">
        <v>232024</v>
      </c>
      <c r="AJ91">
        <v>2</v>
      </c>
      <c r="AK91">
        <v>6254</v>
      </c>
      <c r="AL91">
        <v>176</v>
      </c>
      <c r="AM91" t="b">
        <v>0</v>
      </c>
      <c r="AN91" s="73">
        <v>40730.159224537034</v>
      </c>
      <c r="AO91" t="s">
        <v>996</v>
      </c>
      <c r="AP91" t="s">
        <v>2182</v>
      </c>
      <c r="AQ91" s="76" t="str">
        <f>HYPERLINK("https://t.co/oh7RbYqUNh")</f>
        <v>https://t.co/oh7RbYqUNh</v>
      </c>
      <c r="AR91" s="76" t="str">
        <f>HYPERLINK("https://www.minepi.com/berkahhanif")</f>
        <v>https://www.minepi.com/berkahhanif</v>
      </c>
      <c r="AS91" t="s">
        <v>2310</v>
      </c>
      <c r="AX91" s="76" t="str">
        <f>HYPERLINK("https://t.co/oh7RbYqUNh")</f>
        <v>https://t.co/oh7RbYqUNh</v>
      </c>
      <c r="AY91" t="b">
        <v>0</v>
      </c>
      <c r="BB91" t="b">
        <v>0</v>
      </c>
      <c r="BC91" t="b">
        <v>1</v>
      </c>
      <c r="BD91" t="b">
        <v>1</v>
      </c>
      <c r="BE91" t="b">
        <v>0</v>
      </c>
      <c r="BF91" t="b">
        <v>1</v>
      </c>
      <c r="BG91" t="b">
        <v>0</v>
      </c>
      <c r="BH91" t="b">
        <v>0</v>
      </c>
      <c r="BI91" s="76" t="str">
        <f>HYPERLINK("https://pbs.twimg.com/profile_banners/330116085/1683017244")</f>
        <v>https://pbs.twimg.com/profile_banners/330116085/1683017244</v>
      </c>
      <c r="BK91" t="s">
        <v>2343</v>
      </c>
      <c r="BL91" t="b">
        <v>0</v>
      </c>
      <c r="BN91" t="s">
        <v>65</v>
      </c>
      <c r="BO91" t="s">
        <v>2345</v>
      </c>
      <c r="BP91" s="76" t="str">
        <f>HYPERLINK("https://twitter.com/f1rmanh")</f>
        <v>https://twitter.com/f1rmanh</v>
      </c>
      <c r="BQ91" s="44"/>
      <c r="BR91" s="44"/>
      <c r="BS91" s="44"/>
      <c r="BT91" s="44"/>
      <c r="BU91" s="44"/>
      <c r="BV91" s="44"/>
      <c r="BW91" s="44"/>
      <c r="BX91" s="44"/>
      <c r="BY91" s="44"/>
      <c r="BZ91" s="44"/>
      <c r="CA91" s="44"/>
      <c r="CB91" s="45"/>
      <c r="CC91" s="44"/>
      <c r="CD91" s="45"/>
      <c r="CE91" s="44"/>
      <c r="CF91" s="45"/>
      <c r="CG91" s="44"/>
      <c r="CH91" s="45"/>
      <c r="CI91" s="44"/>
      <c r="CJ91" s="112" t="str">
        <f>REPLACE(INDEX(GroupVertices[Group],MATCH("~"&amp;Vertices[[#This Row],[Vertex]],GroupVertices[Vertex],0)),1,1,"")</f>
        <v>1</v>
      </c>
      <c r="CK91" s="44"/>
      <c r="CL91" s="44"/>
      <c r="CM91" s="44"/>
      <c r="CN91" s="44"/>
      <c r="CO91" s="2"/>
    </row>
    <row r="92" spans="1:93" ht="41.45" customHeight="1">
      <c r="A92" s="59" t="s">
        <v>435</v>
      </c>
      <c r="C92" s="60"/>
      <c r="D92" s="60" t="s">
        <v>64</v>
      </c>
      <c r="E92" s="61">
        <v>1.5</v>
      </c>
      <c r="F92" s="63"/>
      <c r="G92" s="92" t="str">
        <f>HYPERLINK("https://pbs.twimg.com/profile_images/1467865680120737798/B0q0QSrt_normal.jpg")</f>
        <v>https://pbs.twimg.com/profile_images/1467865680120737798/B0q0QSrt_normal.jpg</v>
      </c>
      <c r="H92" s="60"/>
      <c r="I92" s="64" t="str">
        <f>Vertices[[#This Row],[Vertex]]</f>
        <v>situkangutang_0</v>
      </c>
      <c r="J92" s="65"/>
      <c r="K92" s="65"/>
      <c r="L92" s="64"/>
      <c r="M92" s="68"/>
      <c r="N92" s="69">
        <v>408.152587890625</v>
      </c>
      <c r="O92" s="69">
        <v>1500.206787109375</v>
      </c>
      <c r="P92" s="70"/>
      <c r="Q92" s="71"/>
      <c r="R92" s="71"/>
      <c r="S92" s="78"/>
      <c r="T92" s="44">
        <v>1</v>
      </c>
      <c r="U92" s="44">
        <v>0</v>
      </c>
      <c r="V92" s="45">
        <v>0</v>
      </c>
      <c r="W92" s="45">
        <v>0.108923</v>
      </c>
      <c r="X92" s="45">
        <v>0.149931</v>
      </c>
      <c r="Y92" s="45">
        <v>0.00337</v>
      </c>
      <c r="Z92" s="45">
        <v>0</v>
      </c>
      <c r="AA92" s="45">
        <v>0</v>
      </c>
      <c r="AB92" s="66">
        <v>92</v>
      </c>
      <c r="AC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2" s="67"/>
      <c r="AE92" t="s">
        <v>1701</v>
      </c>
      <c r="AF92" s="74" t="s">
        <v>1868</v>
      </c>
      <c r="AG92">
        <v>3269</v>
      </c>
      <c r="AH92">
        <v>2635</v>
      </c>
      <c r="AI92">
        <v>53058</v>
      </c>
      <c r="AJ92">
        <v>0</v>
      </c>
      <c r="AK92">
        <v>48727</v>
      </c>
      <c r="AL92">
        <v>3977</v>
      </c>
      <c r="AM92" t="b">
        <v>0</v>
      </c>
      <c r="AN92" s="73">
        <v>44312.22949074074</v>
      </c>
      <c r="AO92" t="s">
        <v>1985</v>
      </c>
      <c r="AP92" t="s">
        <v>2170</v>
      </c>
      <c r="AQ92" s="76" t="str">
        <f>HYPERLINK("https://t.co/0zVjJgR2TF")</f>
        <v>https://t.co/0zVjJgR2TF</v>
      </c>
      <c r="AR92" s="76" t="str">
        <f>HYPERLINK("http://shadowban.eu")</f>
        <v>http://shadowban.eu</v>
      </c>
      <c r="AS92" t="s">
        <v>2308</v>
      </c>
      <c r="AW92">
        <v>1.44530842478315E+18</v>
      </c>
      <c r="AX92" s="76" t="str">
        <f>HYPERLINK("https://t.co/0zVjJgR2TF")</f>
        <v>https://t.co/0zVjJgR2TF</v>
      </c>
      <c r="AY92" t="b">
        <v>0</v>
      </c>
      <c r="BB92" t="b">
        <v>0</v>
      </c>
      <c r="BC92" t="b">
        <v>0</v>
      </c>
      <c r="BD92" t="b">
        <v>1</v>
      </c>
      <c r="BE92" t="b">
        <v>0</v>
      </c>
      <c r="BF92" t="b">
        <v>1</v>
      </c>
      <c r="BG92" t="b">
        <v>0</v>
      </c>
      <c r="BH92" t="b">
        <v>0</v>
      </c>
      <c r="BI92" s="76" t="str">
        <f>HYPERLINK("https://pbs.twimg.com/profile_banners/1386553126904209415/1657246411")</f>
        <v>https://pbs.twimg.com/profile_banners/1386553126904209415/1657246411</v>
      </c>
      <c r="BK92" t="s">
        <v>2343</v>
      </c>
      <c r="BL92" t="b">
        <v>0</v>
      </c>
      <c r="BN92" t="s">
        <v>65</v>
      </c>
      <c r="BO92" t="s">
        <v>2345</v>
      </c>
      <c r="BP92" s="76" t="str">
        <f>HYPERLINK("https://twitter.com/situkangutang_0")</f>
        <v>https://twitter.com/situkangutang_0</v>
      </c>
      <c r="BQ92" s="44"/>
      <c r="BR92" s="44"/>
      <c r="BS92" s="44"/>
      <c r="BT92" s="44"/>
      <c r="BU92" s="44"/>
      <c r="BV92" s="44"/>
      <c r="BW92" s="44"/>
      <c r="BX92" s="44"/>
      <c r="BY92" s="44"/>
      <c r="BZ92" s="44"/>
      <c r="CA92" s="44"/>
      <c r="CB92" s="45"/>
      <c r="CC92" s="44"/>
      <c r="CD92" s="45"/>
      <c r="CE92" s="44"/>
      <c r="CF92" s="45"/>
      <c r="CG92" s="44"/>
      <c r="CH92" s="45"/>
      <c r="CI92" s="44"/>
      <c r="CJ92" s="112" t="str">
        <f>REPLACE(INDEX(GroupVertices[Group],MATCH("~"&amp;Vertices[[#This Row],[Vertex]],GroupVertices[Vertex],0)),1,1,"")</f>
        <v>1</v>
      </c>
      <c r="CK92" s="44"/>
      <c r="CL92" s="44"/>
      <c r="CM92" s="44"/>
      <c r="CN92" s="44"/>
      <c r="CO92" s="2"/>
    </row>
    <row r="93" spans="1:93" ht="41.45" customHeight="1">
      <c r="A93" s="59" t="s">
        <v>431</v>
      </c>
      <c r="C93" s="60"/>
      <c r="D93" s="60" t="s">
        <v>64</v>
      </c>
      <c r="E93" s="61">
        <v>1.5</v>
      </c>
      <c r="F93" s="63"/>
      <c r="G93" s="92" t="str">
        <f>HYPERLINK("https://pbs.twimg.com/profile_images/1585235442969911296/yzO5OIjc_normal.jpg")</f>
        <v>https://pbs.twimg.com/profile_images/1585235442969911296/yzO5OIjc_normal.jpg</v>
      </c>
      <c r="H93" s="60"/>
      <c r="I93" s="64" t="str">
        <f>Vertices[[#This Row],[Vertex]]</f>
        <v>putunmy</v>
      </c>
      <c r="J93" s="65"/>
      <c r="K93" s="65"/>
      <c r="L93" s="64"/>
      <c r="M93" s="68"/>
      <c r="N93" s="69">
        <v>350.51434326171875</v>
      </c>
      <c r="O93" s="69">
        <v>7951.34912109375</v>
      </c>
      <c r="P93" s="70"/>
      <c r="Q93" s="71"/>
      <c r="R93" s="71"/>
      <c r="S93" s="78"/>
      <c r="T93" s="44">
        <v>1</v>
      </c>
      <c r="U93" s="44">
        <v>0</v>
      </c>
      <c r="V93" s="45">
        <v>0</v>
      </c>
      <c r="W93" s="45">
        <v>0.108923</v>
      </c>
      <c r="X93" s="45">
        <v>0.149931</v>
      </c>
      <c r="Y93" s="45">
        <v>0.00337</v>
      </c>
      <c r="Z93" s="45">
        <v>0</v>
      </c>
      <c r="AA93" s="45">
        <v>0</v>
      </c>
      <c r="AB93" s="66">
        <v>93</v>
      </c>
      <c r="AC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3" s="67"/>
      <c r="AE93" t="s">
        <v>1697</v>
      </c>
      <c r="AF93" s="74" t="s">
        <v>1864</v>
      </c>
      <c r="AG93">
        <v>3093</v>
      </c>
      <c r="AH93">
        <v>4765</v>
      </c>
      <c r="AI93">
        <v>18025</v>
      </c>
      <c r="AJ93">
        <v>0</v>
      </c>
      <c r="AK93">
        <v>42660</v>
      </c>
      <c r="AL93">
        <v>1322</v>
      </c>
      <c r="AM93" t="b">
        <v>0</v>
      </c>
      <c r="AN93" s="73">
        <v>44811.50324074074</v>
      </c>
      <c r="AO93" t="s">
        <v>1984</v>
      </c>
      <c r="AY93" t="b">
        <v>0</v>
      </c>
      <c r="BB93" t="b">
        <v>0</v>
      </c>
      <c r="BC93" t="b">
        <v>1</v>
      </c>
      <c r="BD93" t="b">
        <v>1</v>
      </c>
      <c r="BE93" t="b">
        <v>0</v>
      </c>
      <c r="BF93" t="b">
        <v>1</v>
      </c>
      <c r="BG93" t="b">
        <v>0</v>
      </c>
      <c r="BH93" t="b">
        <v>0</v>
      </c>
      <c r="BI93" s="76" t="str">
        <f>HYPERLINK("https://pbs.twimg.com/profile_banners/1567483663545438209/1680029661")</f>
        <v>https://pbs.twimg.com/profile_banners/1567483663545438209/1680029661</v>
      </c>
      <c r="BK93" t="s">
        <v>2343</v>
      </c>
      <c r="BL93" t="b">
        <v>0</v>
      </c>
      <c r="BN93" t="s">
        <v>65</v>
      </c>
      <c r="BO93" t="s">
        <v>2345</v>
      </c>
      <c r="BP93" s="76" t="str">
        <f>HYPERLINK("https://twitter.com/putunmy")</f>
        <v>https://twitter.com/putunmy</v>
      </c>
      <c r="BQ93" s="44"/>
      <c r="BR93" s="44"/>
      <c r="BS93" s="44"/>
      <c r="BT93" s="44"/>
      <c r="BU93" s="44"/>
      <c r="BV93" s="44"/>
      <c r="BW93" s="44"/>
      <c r="BX93" s="44"/>
      <c r="BY93" s="44"/>
      <c r="BZ93" s="44"/>
      <c r="CA93" s="44"/>
      <c r="CB93" s="45"/>
      <c r="CC93" s="44"/>
      <c r="CD93" s="45"/>
      <c r="CE93" s="44"/>
      <c r="CF93" s="45"/>
      <c r="CG93" s="44"/>
      <c r="CH93" s="45"/>
      <c r="CI93" s="44"/>
      <c r="CJ93" s="112" t="str">
        <f>REPLACE(INDEX(GroupVertices[Group],MATCH("~"&amp;Vertices[[#This Row],[Vertex]],GroupVertices[Vertex],0)),1,1,"")</f>
        <v>1</v>
      </c>
      <c r="CK93" s="44"/>
      <c r="CL93" s="44"/>
      <c r="CM93" s="44"/>
      <c r="CN93" s="44"/>
      <c r="CO93" s="2"/>
    </row>
    <row r="94" spans="1:93" ht="41.45" customHeight="1">
      <c r="A94" s="59" t="s">
        <v>452</v>
      </c>
      <c r="C94" s="60"/>
      <c r="D94" s="60" t="s">
        <v>64</v>
      </c>
      <c r="E94" s="61">
        <v>1.5</v>
      </c>
      <c r="F94" s="63"/>
      <c r="G94" s="92" t="str">
        <f>HYPERLINK("https://pbs.twimg.com/profile_images/1664320570367021056/qPyfQZyc_normal.jpg")</f>
        <v>https://pbs.twimg.com/profile_images/1664320570367021056/qPyfQZyc_normal.jpg</v>
      </c>
      <c r="H94" s="60"/>
      <c r="I94" s="64" t="str">
        <f>Vertices[[#This Row],[Vertex]]</f>
        <v>jangkrikgengg15</v>
      </c>
      <c r="J94" s="65"/>
      <c r="K94" s="65"/>
      <c r="L94" s="64"/>
      <c r="M94" s="68"/>
      <c r="N94" s="69">
        <v>162.07861328125</v>
      </c>
      <c r="O94" s="69">
        <v>6057.806640625</v>
      </c>
      <c r="P94" s="70"/>
      <c r="Q94" s="71"/>
      <c r="R94" s="71"/>
      <c r="S94" s="78"/>
      <c r="T94" s="44">
        <v>1</v>
      </c>
      <c r="U94" s="44">
        <v>0</v>
      </c>
      <c r="V94" s="45">
        <v>0</v>
      </c>
      <c r="W94" s="45">
        <v>0.108923</v>
      </c>
      <c r="X94" s="45">
        <v>0.149931</v>
      </c>
      <c r="Y94" s="45">
        <v>0.00337</v>
      </c>
      <c r="Z94" s="45">
        <v>0</v>
      </c>
      <c r="AA94" s="45">
        <v>0</v>
      </c>
      <c r="AB94" s="66">
        <v>94</v>
      </c>
      <c r="AC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4" s="67"/>
      <c r="AE94" t="s">
        <v>1718</v>
      </c>
      <c r="AF94" s="74" t="s">
        <v>1885</v>
      </c>
      <c r="AG94">
        <v>2857</v>
      </c>
      <c r="AH94">
        <v>3529</v>
      </c>
      <c r="AI94">
        <v>38617</v>
      </c>
      <c r="AJ94">
        <v>0</v>
      </c>
      <c r="AK94">
        <v>49883</v>
      </c>
      <c r="AL94">
        <v>3052</v>
      </c>
      <c r="AM94" t="b">
        <v>0</v>
      </c>
      <c r="AN94" s="73">
        <v>44312.53293981482</v>
      </c>
      <c r="AO94" t="s">
        <v>1990</v>
      </c>
      <c r="AP94" t="s">
        <v>2183</v>
      </c>
      <c r="AY94" t="b">
        <v>0</v>
      </c>
      <c r="BB94" t="b">
        <v>0</v>
      </c>
      <c r="BC94" t="b">
        <v>1</v>
      </c>
      <c r="BD94" t="b">
        <v>1</v>
      </c>
      <c r="BE94" t="b">
        <v>0</v>
      </c>
      <c r="BF94" t="b">
        <v>1</v>
      </c>
      <c r="BG94" t="b">
        <v>0</v>
      </c>
      <c r="BH94" t="b">
        <v>0</v>
      </c>
      <c r="BI94" s="76" t="str">
        <f>HYPERLINK("https://pbs.twimg.com/profile_banners/1386663031979999238/1635878904")</f>
        <v>https://pbs.twimg.com/profile_banners/1386663031979999238/1635878904</v>
      </c>
      <c r="BK94" t="s">
        <v>2343</v>
      </c>
      <c r="BL94" t="b">
        <v>0</v>
      </c>
      <c r="BN94" t="s">
        <v>65</v>
      </c>
      <c r="BO94" t="s">
        <v>2345</v>
      </c>
      <c r="BP94" s="76" t="str">
        <f>HYPERLINK("https://twitter.com/jangkrikgengg15")</f>
        <v>https://twitter.com/jangkrikgengg15</v>
      </c>
      <c r="BQ94" s="44"/>
      <c r="BR94" s="44"/>
      <c r="BS94" s="44"/>
      <c r="BT94" s="44"/>
      <c r="BU94" s="44"/>
      <c r="BV94" s="44"/>
      <c r="BW94" s="44"/>
      <c r="BX94" s="44"/>
      <c r="BY94" s="44"/>
      <c r="BZ94" s="44"/>
      <c r="CA94" s="44"/>
      <c r="CB94" s="45"/>
      <c r="CC94" s="44"/>
      <c r="CD94" s="45"/>
      <c r="CE94" s="44"/>
      <c r="CF94" s="45"/>
      <c r="CG94" s="44"/>
      <c r="CH94" s="45"/>
      <c r="CI94" s="44"/>
      <c r="CJ94" s="112" t="str">
        <f>REPLACE(INDEX(GroupVertices[Group],MATCH("~"&amp;Vertices[[#This Row],[Vertex]],GroupVertices[Vertex],0)),1,1,"")</f>
        <v>1</v>
      </c>
      <c r="CK94" s="44"/>
      <c r="CL94" s="44"/>
      <c r="CM94" s="44"/>
      <c r="CN94" s="44"/>
      <c r="CO94" s="2"/>
    </row>
    <row r="95" spans="1:93" ht="41.45" customHeight="1">
      <c r="A95" s="59" t="s">
        <v>446</v>
      </c>
      <c r="C95" s="60"/>
      <c r="D95" s="60" t="s">
        <v>64</v>
      </c>
      <c r="E95" s="61">
        <v>1.5</v>
      </c>
      <c r="F95" s="63"/>
      <c r="G95" s="92" t="str">
        <f>HYPERLINK("https://pbs.twimg.com/profile_images/1717357917635256320/B7NXxCe6_normal.jpg")</f>
        <v>https://pbs.twimg.com/profile_images/1717357917635256320/B7NXxCe6_normal.jpg</v>
      </c>
      <c r="H95" s="60"/>
      <c r="I95" s="64" t="str">
        <f>Vertices[[#This Row],[Vertex]]</f>
        <v>dantespeak_usa_</v>
      </c>
      <c r="J95" s="65"/>
      <c r="K95" s="65"/>
      <c r="L95" s="64"/>
      <c r="M95" s="68"/>
      <c r="N95" s="69">
        <v>908.6112670898438</v>
      </c>
      <c r="O95" s="69">
        <v>2060.454345703125</v>
      </c>
      <c r="P95" s="70"/>
      <c r="Q95" s="71"/>
      <c r="R95" s="71"/>
      <c r="S95" s="78"/>
      <c r="T95" s="44">
        <v>1</v>
      </c>
      <c r="U95" s="44">
        <v>0</v>
      </c>
      <c r="V95" s="45">
        <v>0</v>
      </c>
      <c r="W95" s="45">
        <v>0.108923</v>
      </c>
      <c r="X95" s="45">
        <v>0.149931</v>
      </c>
      <c r="Y95" s="45">
        <v>0.00337</v>
      </c>
      <c r="Z95" s="45">
        <v>0</v>
      </c>
      <c r="AA95" s="45">
        <v>0</v>
      </c>
      <c r="AB95" s="66">
        <v>95</v>
      </c>
      <c r="AC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5" s="67"/>
      <c r="AE95" t="s">
        <v>1712</v>
      </c>
      <c r="AF95" s="74" t="s">
        <v>1879</v>
      </c>
      <c r="AG95">
        <v>2686</v>
      </c>
      <c r="AH95">
        <v>2917</v>
      </c>
      <c r="AI95">
        <v>18944</v>
      </c>
      <c r="AJ95">
        <v>1</v>
      </c>
      <c r="AK95">
        <v>47984</v>
      </c>
      <c r="AL95">
        <v>2821</v>
      </c>
      <c r="AM95" t="b">
        <v>0</v>
      </c>
      <c r="AN95" s="73">
        <v>44739.63993055555</v>
      </c>
      <c r="AO95" t="s">
        <v>1988</v>
      </c>
      <c r="AP95" t="s">
        <v>2179</v>
      </c>
      <c r="AY95" t="b">
        <v>0</v>
      </c>
      <c r="BB95" t="b">
        <v>0</v>
      </c>
      <c r="BC95" t="b">
        <v>1</v>
      </c>
      <c r="BD95" t="b">
        <v>1</v>
      </c>
      <c r="BE95" t="b">
        <v>0</v>
      </c>
      <c r="BF95" t="b">
        <v>1</v>
      </c>
      <c r="BG95" t="b">
        <v>0</v>
      </c>
      <c r="BH95" t="b">
        <v>0</v>
      </c>
      <c r="BI95" s="76" t="str">
        <f>HYPERLINK("https://pbs.twimg.com/profile_banners/1541441482959503360/1698285008")</f>
        <v>https://pbs.twimg.com/profile_banners/1541441482959503360/1698285008</v>
      </c>
      <c r="BK95" t="s">
        <v>2343</v>
      </c>
      <c r="BL95" t="b">
        <v>0</v>
      </c>
      <c r="BN95" t="s">
        <v>65</v>
      </c>
      <c r="BO95" t="s">
        <v>2345</v>
      </c>
      <c r="BP95" s="76" t="str">
        <f>HYPERLINK("https://twitter.com/dantespeak_usa_")</f>
        <v>https://twitter.com/dantespeak_usa_</v>
      </c>
      <c r="BQ95" s="44"/>
      <c r="BR95" s="44"/>
      <c r="BS95" s="44"/>
      <c r="BT95" s="44"/>
      <c r="BU95" s="44"/>
      <c r="BV95" s="44"/>
      <c r="BW95" s="44"/>
      <c r="BX95" s="44"/>
      <c r="BY95" s="44"/>
      <c r="BZ95" s="44"/>
      <c r="CA95" s="44"/>
      <c r="CB95" s="45"/>
      <c r="CC95" s="44"/>
      <c r="CD95" s="45"/>
      <c r="CE95" s="44"/>
      <c r="CF95" s="45"/>
      <c r="CG95" s="44"/>
      <c r="CH95" s="45"/>
      <c r="CI95" s="44"/>
      <c r="CJ95" s="112" t="str">
        <f>REPLACE(INDEX(GroupVertices[Group],MATCH("~"&amp;Vertices[[#This Row],[Vertex]],GroupVertices[Vertex],0)),1,1,"")</f>
        <v>1</v>
      </c>
      <c r="CK95" s="44"/>
      <c r="CL95" s="44"/>
      <c r="CM95" s="44"/>
      <c r="CN95" s="44"/>
      <c r="CO95" s="2"/>
    </row>
    <row r="96" spans="1:93" ht="41.45" customHeight="1">
      <c r="A96" s="59" t="s">
        <v>447</v>
      </c>
      <c r="C96" s="60"/>
      <c r="D96" s="60" t="s">
        <v>64</v>
      </c>
      <c r="E96" s="61">
        <v>1.5</v>
      </c>
      <c r="F96" s="63"/>
      <c r="G96" s="92" t="str">
        <f>HYPERLINK("https://pbs.twimg.com/profile_images/1581139241022914562/k3OH0Nu8_normal.jpg")</f>
        <v>https://pbs.twimg.com/profile_images/1581139241022914562/k3OH0Nu8_normal.jpg</v>
      </c>
      <c r="H96" s="60"/>
      <c r="I96" s="64" t="str">
        <f>Vertices[[#This Row],[Vertex]]</f>
        <v>ihexelio</v>
      </c>
      <c r="J96" s="65"/>
      <c r="K96" s="65"/>
      <c r="L96" s="64"/>
      <c r="M96" s="68"/>
      <c r="N96" s="69">
        <v>1361.6436767578125</v>
      </c>
      <c r="O96" s="69">
        <v>3327.40380859375</v>
      </c>
      <c r="P96" s="70"/>
      <c r="Q96" s="71"/>
      <c r="R96" s="71"/>
      <c r="S96" s="78"/>
      <c r="T96" s="44">
        <v>1</v>
      </c>
      <c r="U96" s="44">
        <v>0</v>
      </c>
      <c r="V96" s="45">
        <v>0</v>
      </c>
      <c r="W96" s="45">
        <v>0.108923</v>
      </c>
      <c r="X96" s="45">
        <v>0.149931</v>
      </c>
      <c r="Y96" s="45">
        <v>0.00337</v>
      </c>
      <c r="Z96" s="45">
        <v>0</v>
      </c>
      <c r="AA96" s="45">
        <v>0</v>
      </c>
      <c r="AB96" s="66">
        <v>96</v>
      </c>
      <c r="AC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6" s="67"/>
      <c r="AE96" t="s">
        <v>1713</v>
      </c>
      <c r="AF96" s="74" t="s">
        <v>1880</v>
      </c>
      <c r="AG96">
        <v>2019</v>
      </c>
      <c r="AH96">
        <v>1979</v>
      </c>
      <c r="AI96">
        <v>1642</v>
      </c>
      <c r="AJ96">
        <v>0</v>
      </c>
      <c r="AK96">
        <v>1399</v>
      </c>
      <c r="AL96">
        <v>45</v>
      </c>
      <c r="AM96" t="b">
        <v>0</v>
      </c>
      <c r="AN96" s="73">
        <v>44402.064467592594</v>
      </c>
      <c r="AP96" t="s">
        <v>2180</v>
      </c>
      <c r="AY96" t="b">
        <v>0</v>
      </c>
      <c r="BB96" t="b">
        <v>0</v>
      </c>
      <c r="BC96" t="b">
        <v>1</v>
      </c>
      <c r="BD96" t="b">
        <v>1</v>
      </c>
      <c r="BE96" t="b">
        <v>0</v>
      </c>
      <c r="BF96" t="b">
        <v>0</v>
      </c>
      <c r="BG96" t="b">
        <v>0</v>
      </c>
      <c r="BH96" t="b">
        <v>0</v>
      </c>
      <c r="BI96" s="76" t="str">
        <f>HYPERLINK("https://pbs.twimg.com/profile_banners/1419108270875152389/1627177906")</f>
        <v>https://pbs.twimg.com/profile_banners/1419108270875152389/1627177906</v>
      </c>
      <c r="BK96" t="s">
        <v>2343</v>
      </c>
      <c r="BL96" t="b">
        <v>0</v>
      </c>
      <c r="BN96" t="s">
        <v>65</v>
      </c>
      <c r="BO96" t="s">
        <v>2345</v>
      </c>
      <c r="BP96" s="76" t="str">
        <f>HYPERLINK("https://twitter.com/ihexelio")</f>
        <v>https://twitter.com/ihexelio</v>
      </c>
      <c r="BQ96" s="44"/>
      <c r="BR96" s="44"/>
      <c r="BS96" s="44"/>
      <c r="BT96" s="44"/>
      <c r="BU96" s="44"/>
      <c r="BV96" s="44"/>
      <c r="BW96" s="44"/>
      <c r="BX96" s="44"/>
      <c r="BY96" s="44"/>
      <c r="BZ96" s="44"/>
      <c r="CA96" s="44"/>
      <c r="CB96" s="45"/>
      <c r="CC96" s="44"/>
      <c r="CD96" s="45"/>
      <c r="CE96" s="44"/>
      <c r="CF96" s="45"/>
      <c r="CG96" s="44"/>
      <c r="CH96" s="45"/>
      <c r="CI96" s="44"/>
      <c r="CJ96" s="112" t="str">
        <f>REPLACE(INDEX(GroupVertices[Group],MATCH("~"&amp;Vertices[[#This Row],[Vertex]],GroupVertices[Vertex],0)),1,1,"")</f>
        <v>1</v>
      </c>
      <c r="CK96" s="44"/>
      <c r="CL96" s="44"/>
      <c r="CM96" s="44"/>
      <c r="CN96" s="44"/>
      <c r="CO96" s="2"/>
    </row>
    <row r="97" spans="1:93" ht="41.45" customHeight="1">
      <c r="A97" s="59" t="s">
        <v>437</v>
      </c>
      <c r="C97" s="60"/>
      <c r="D97" s="60" t="s">
        <v>64</v>
      </c>
      <c r="E97" s="61">
        <v>1.5</v>
      </c>
      <c r="F97" s="63"/>
      <c r="G97" s="92" t="str">
        <f>HYPERLINK("https://pbs.twimg.com/profile_images/1488003164221902849/GqG863MQ_normal.jpg")</f>
        <v>https://pbs.twimg.com/profile_images/1488003164221902849/GqG863MQ_normal.jpg</v>
      </c>
      <c r="H97" s="60"/>
      <c r="I97" s="64" t="str">
        <f>Vertices[[#This Row],[Vertex]]</f>
        <v>nurasyor</v>
      </c>
      <c r="J97" s="65"/>
      <c r="K97" s="65"/>
      <c r="L97" s="64"/>
      <c r="M97" s="68"/>
      <c r="N97" s="69">
        <v>470.1488952636719</v>
      </c>
      <c r="O97" s="69">
        <v>8755.2744140625</v>
      </c>
      <c r="P97" s="70"/>
      <c r="Q97" s="71"/>
      <c r="R97" s="71"/>
      <c r="S97" s="78"/>
      <c r="T97" s="44">
        <v>1</v>
      </c>
      <c r="U97" s="44">
        <v>0</v>
      </c>
      <c r="V97" s="45">
        <v>0</v>
      </c>
      <c r="W97" s="45">
        <v>0.108923</v>
      </c>
      <c r="X97" s="45">
        <v>0.149931</v>
      </c>
      <c r="Y97" s="45">
        <v>0.00337</v>
      </c>
      <c r="Z97" s="45">
        <v>0</v>
      </c>
      <c r="AA97" s="45">
        <v>0</v>
      </c>
      <c r="AB97" s="66">
        <v>97</v>
      </c>
      <c r="AC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7" s="67"/>
      <c r="AE97" t="s">
        <v>1703</v>
      </c>
      <c r="AF97" s="74" t="s">
        <v>1870</v>
      </c>
      <c r="AG97">
        <v>1879</v>
      </c>
      <c r="AH97">
        <v>2823</v>
      </c>
      <c r="AI97">
        <v>37310</v>
      </c>
      <c r="AJ97">
        <v>2</v>
      </c>
      <c r="AK97">
        <v>27073</v>
      </c>
      <c r="AL97">
        <v>146</v>
      </c>
      <c r="AM97" t="b">
        <v>0</v>
      </c>
      <c r="AN97" s="73">
        <v>41356.615439814814</v>
      </c>
      <c r="AO97" t="s">
        <v>1986</v>
      </c>
      <c r="AW97">
        <v>8.13808736451969E+17</v>
      </c>
      <c r="AY97" t="b">
        <v>0</v>
      </c>
      <c r="BB97" t="b">
        <v>0</v>
      </c>
      <c r="BC97" t="b">
        <v>1</v>
      </c>
      <c r="BD97" t="b">
        <v>0</v>
      </c>
      <c r="BE97" t="b">
        <v>0</v>
      </c>
      <c r="BF97" t="b">
        <v>1</v>
      </c>
      <c r="BG97" t="b">
        <v>0</v>
      </c>
      <c r="BH97" t="b">
        <v>0</v>
      </c>
      <c r="BI97" s="76" t="str">
        <f>HYPERLINK("https://pbs.twimg.com/profile_banners/1291642381/1402120576")</f>
        <v>https://pbs.twimg.com/profile_banners/1291642381/1402120576</v>
      </c>
      <c r="BK97" t="s">
        <v>2343</v>
      </c>
      <c r="BL97" t="b">
        <v>0</v>
      </c>
      <c r="BN97" t="s">
        <v>65</v>
      </c>
      <c r="BO97" t="s">
        <v>2345</v>
      </c>
      <c r="BP97" s="76" t="str">
        <f>HYPERLINK("https://twitter.com/nurasyor")</f>
        <v>https://twitter.com/nurasyor</v>
      </c>
      <c r="BQ97" s="44"/>
      <c r="BR97" s="44"/>
      <c r="BS97" s="44"/>
      <c r="BT97" s="44"/>
      <c r="BU97" s="44"/>
      <c r="BV97" s="44"/>
      <c r="BW97" s="44"/>
      <c r="BX97" s="44"/>
      <c r="BY97" s="44"/>
      <c r="BZ97" s="44"/>
      <c r="CA97" s="44"/>
      <c r="CB97" s="45"/>
      <c r="CC97" s="44"/>
      <c r="CD97" s="45"/>
      <c r="CE97" s="44"/>
      <c r="CF97" s="45"/>
      <c r="CG97" s="44"/>
      <c r="CH97" s="45"/>
      <c r="CI97" s="44"/>
      <c r="CJ97" s="112" t="str">
        <f>REPLACE(INDEX(GroupVertices[Group],MATCH("~"&amp;Vertices[[#This Row],[Vertex]],GroupVertices[Vertex],0)),1,1,"")</f>
        <v>1</v>
      </c>
      <c r="CK97" s="44"/>
      <c r="CL97" s="44"/>
      <c r="CM97" s="44"/>
      <c r="CN97" s="44"/>
      <c r="CO97" s="2"/>
    </row>
    <row r="98" spans="1:93" ht="41.45" customHeight="1">
      <c r="A98" s="59" t="s">
        <v>454</v>
      </c>
      <c r="C98" s="60"/>
      <c r="D98" s="60" t="s">
        <v>64</v>
      </c>
      <c r="E98" s="61">
        <v>1.5</v>
      </c>
      <c r="F98" s="63"/>
      <c r="G98" s="92" t="str">
        <f>HYPERLINK("https://pbs.twimg.com/profile_images/1593868311468855297/wxgPHJ88_normal.jpg")</f>
        <v>https://pbs.twimg.com/profile_images/1593868311468855297/wxgPHJ88_normal.jpg</v>
      </c>
      <c r="H98" s="60"/>
      <c r="I98" s="64" t="str">
        <f>Vertices[[#This Row],[Vertex]]</f>
        <v>wartegperjuang1</v>
      </c>
      <c r="J98" s="65"/>
      <c r="K98" s="65"/>
      <c r="L98" s="64"/>
      <c r="M98" s="68"/>
      <c r="N98" s="69">
        <v>405.24029541015625</v>
      </c>
      <c r="O98" s="69">
        <v>4116.63232421875</v>
      </c>
      <c r="P98" s="70"/>
      <c r="Q98" s="71"/>
      <c r="R98" s="71"/>
      <c r="S98" s="78"/>
      <c r="T98" s="44">
        <v>1</v>
      </c>
      <c r="U98" s="44">
        <v>0</v>
      </c>
      <c r="V98" s="45">
        <v>0</v>
      </c>
      <c r="W98" s="45">
        <v>0.108923</v>
      </c>
      <c r="X98" s="45">
        <v>0.149931</v>
      </c>
      <c r="Y98" s="45">
        <v>0.00337</v>
      </c>
      <c r="Z98" s="45">
        <v>0</v>
      </c>
      <c r="AA98" s="45">
        <v>0</v>
      </c>
      <c r="AB98" s="66">
        <v>98</v>
      </c>
      <c r="AC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8" s="67"/>
      <c r="AE98" t="s">
        <v>1720</v>
      </c>
      <c r="AF98" s="74" t="s">
        <v>1887</v>
      </c>
      <c r="AG98">
        <v>1838</v>
      </c>
      <c r="AH98">
        <v>2663</v>
      </c>
      <c r="AI98">
        <v>9208</v>
      </c>
      <c r="AJ98">
        <v>0</v>
      </c>
      <c r="AK98">
        <v>5781</v>
      </c>
      <c r="AL98">
        <v>215</v>
      </c>
      <c r="AM98" t="b">
        <v>0</v>
      </c>
      <c r="AN98" s="73">
        <v>44365.59841435185</v>
      </c>
      <c r="AP98" t="s">
        <v>2185</v>
      </c>
      <c r="AY98" t="b">
        <v>0</v>
      </c>
      <c r="BB98" t="b">
        <v>0</v>
      </c>
      <c r="BC98" t="b">
        <v>1</v>
      </c>
      <c r="BD98" t="b">
        <v>1</v>
      </c>
      <c r="BE98" t="b">
        <v>0</v>
      </c>
      <c r="BF98" t="b">
        <v>0</v>
      </c>
      <c r="BG98" t="b">
        <v>0</v>
      </c>
      <c r="BH98" t="b">
        <v>0</v>
      </c>
      <c r="BI98" s="76" t="str">
        <f>HYPERLINK("https://pbs.twimg.com/profile_banners/1405893419759587330/1624026599")</f>
        <v>https://pbs.twimg.com/profile_banners/1405893419759587330/1624026599</v>
      </c>
      <c r="BK98" t="s">
        <v>2343</v>
      </c>
      <c r="BL98" t="b">
        <v>0</v>
      </c>
      <c r="BN98" t="s">
        <v>65</v>
      </c>
      <c r="BO98" t="s">
        <v>2345</v>
      </c>
      <c r="BP98" s="76" t="str">
        <f>HYPERLINK("https://twitter.com/wartegperjuang1")</f>
        <v>https://twitter.com/wartegperjuang1</v>
      </c>
      <c r="BQ98" s="44"/>
      <c r="BR98" s="44"/>
      <c r="BS98" s="44"/>
      <c r="BT98" s="44"/>
      <c r="BU98" s="44"/>
      <c r="BV98" s="44"/>
      <c r="BW98" s="44"/>
      <c r="BX98" s="44"/>
      <c r="BY98" s="44"/>
      <c r="BZ98" s="44"/>
      <c r="CA98" s="44"/>
      <c r="CB98" s="45"/>
      <c r="CC98" s="44"/>
      <c r="CD98" s="45"/>
      <c r="CE98" s="44"/>
      <c r="CF98" s="45"/>
      <c r="CG98" s="44"/>
      <c r="CH98" s="45"/>
      <c r="CI98" s="44"/>
      <c r="CJ98" s="112" t="str">
        <f>REPLACE(INDEX(GroupVertices[Group],MATCH("~"&amp;Vertices[[#This Row],[Vertex]],GroupVertices[Vertex],0)),1,1,"")</f>
        <v>1</v>
      </c>
      <c r="CK98" s="44"/>
      <c r="CL98" s="44"/>
      <c r="CM98" s="44"/>
      <c r="CN98" s="44"/>
      <c r="CO98" s="2"/>
    </row>
    <row r="99" spans="1:93" ht="41.45" customHeight="1">
      <c r="A99" s="59" t="s">
        <v>455</v>
      </c>
      <c r="C99" s="60"/>
      <c r="D99" s="60" t="s">
        <v>64</v>
      </c>
      <c r="E99" s="61">
        <v>1.5</v>
      </c>
      <c r="F99" s="63"/>
      <c r="G99" s="92" t="str">
        <f>HYPERLINK("https://pbs.twimg.com/profile_images/1723340207767105536/cMu4Sp31_normal.jpg")</f>
        <v>https://pbs.twimg.com/profile_images/1723340207767105536/cMu4Sp31_normal.jpg</v>
      </c>
      <c r="H99" s="60"/>
      <c r="I99" s="64" t="str">
        <f>Vertices[[#This Row],[Vertex]]</f>
        <v>boetix</v>
      </c>
      <c r="J99" s="65"/>
      <c r="K99" s="65"/>
      <c r="L99" s="64"/>
      <c r="M99" s="68"/>
      <c r="N99" s="69">
        <v>584.1353759765625</v>
      </c>
      <c r="O99" s="69">
        <v>903.7021484375</v>
      </c>
      <c r="P99" s="70"/>
      <c r="Q99" s="71"/>
      <c r="R99" s="71"/>
      <c r="S99" s="78"/>
      <c r="T99" s="44">
        <v>1</v>
      </c>
      <c r="U99" s="44">
        <v>0</v>
      </c>
      <c r="V99" s="45">
        <v>0</v>
      </c>
      <c r="W99" s="45">
        <v>0.108923</v>
      </c>
      <c r="X99" s="45">
        <v>0.149931</v>
      </c>
      <c r="Y99" s="45">
        <v>0.00337</v>
      </c>
      <c r="Z99" s="45">
        <v>0</v>
      </c>
      <c r="AA99" s="45">
        <v>0</v>
      </c>
      <c r="AB99" s="66">
        <v>99</v>
      </c>
      <c r="AC9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9" s="67"/>
      <c r="AE99" t="s">
        <v>1721</v>
      </c>
      <c r="AF99" s="74" t="s">
        <v>1888</v>
      </c>
      <c r="AG99">
        <v>1599</v>
      </c>
      <c r="AH99">
        <v>1994</v>
      </c>
      <c r="AI99">
        <v>41314</v>
      </c>
      <c r="AJ99">
        <v>0</v>
      </c>
      <c r="AK99">
        <v>50623</v>
      </c>
      <c r="AL99">
        <v>261</v>
      </c>
      <c r="AM99" t="b">
        <v>0</v>
      </c>
      <c r="AN99" s="73">
        <v>40041.76217592593</v>
      </c>
      <c r="AO99" t="s">
        <v>1992</v>
      </c>
      <c r="AP99" t="s">
        <v>2186</v>
      </c>
      <c r="AY99" t="b">
        <v>0</v>
      </c>
      <c r="BB99" t="b">
        <v>1</v>
      </c>
      <c r="BC99" t="b">
        <v>1</v>
      </c>
      <c r="BD99" t="b">
        <v>1</v>
      </c>
      <c r="BE99" t="b">
        <v>0</v>
      </c>
      <c r="BF99" t="b">
        <v>0</v>
      </c>
      <c r="BG99" t="b">
        <v>0</v>
      </c>
      <c r="BH99" t="b">
        <v>0</v>
      </c>
      <c r="BI99" s="76" t="str">
        <f>HYPERLINK("https://pbs.twimg.com/profile_banners/66161662/1631670296")</f>
        <v>https://pbs.twimg.com/profile_banners/66161662/1631670296</v>
      </c>
      <c r="BK99" t="s">
        <v>2343</v>
      </c>
      <c r="BL99" t="b">
        <v>0</v>
      </c>
      <c r="BN99" t="s">
        <v>65</v>
      </c>
      <c r="BO99" t="s">
        <v>2345</v>
      </c>
      <c r="BP99" s="76" t="str">
        <f>HYPERLINK("https://twitter.com/boetix")</f>
        <v>https://twitter.com/boetix</v>
      </c>
      <c r="BQ99" s="44"/>
      <c r="BR99" s="44"/>
      <c r="BS99" s="44"/>
      <c r="BT99" s="44"/>
      <c r="BU99" s="44"/>
      <c r="BV99" s="44"/>
      <c r="BW99" s="44"/>
      <c r="BX99" s="44"/>
      <c r="BY99" s="44"/>
      <c r="BZ99" s="44"/>
      <c r="CA99" s="44"/>
      <c r="CB99" s="45"/>
      <c r="CC99" s="44"/>
      <c r="CD99" s="45"/>
      <c r="CE99" s="44"/>
      <c r="CF99" s="45"/>
      <c r="CG99" s="44"/>
      <c r="CH99" s="45"/>
      <c r="CI99" s="44"/>
      <c r="CJ99" s="112" t="str">
        <f>REPLACE(INDEX(GroupVertices[Group],MATCH("~"&amp;Vertices[[#This Row],[Vertex]],GroupVertices[Vertex],0)),1,1,"")</f>
        <v>1</v>
      </c>
      <c r="CK99" s="44"/>
      <c r="CL99" s="44"/>
      <c r="CM99" s="44"/>
      <c r="CN99" s="44"/>
      <c r="CO99" s="2"/>
    </row>
    <row r="100" spans="1:93" ht="41.45" customHeight="1">
      <c r="A100" s="59" t="s">
        <v>448</v>
      </c>
      <c r="C100" s="60"/>
      <c r="D100" s="60" t="s">
        <v>64</v>
      </c>
      <c r="E100" s="61">
        <v>1.5</v>
      </c>
      <c r="F100" s="63"/>
      <c r="G100" s="92" t="str">
        <f>HYPERLINK("https://pbs.twimg.com/profile_images/1600130499858821120/A1eOwOO3_normal.jpg")</f>
        <v>https://pbs.twimg.com/profile_images/1600130499858821120/A1eOwOO3_normal.jpg</v>
      </c>
      <c r="H100" s="60"/>
      <c r="I100" s="64" t="str">
        <f>Vertices[[#This Row],[Vertex]]</f>
        <v>cordovareborn</v>
      </c>
      <c r="J100" s="65"/>
      <c r="K100" s="65"/>
      <c r="L100" s="64"/>
      <c r="M100" s="68"/>
      <c r="N100" s="69">
        <v>1061.648193359375</v>
      </c>
      <c r="O100" s="69">
        <v>3207.0224609375</v>
      </c>
      <c r="P100" s="70"/>
      <c r="Q100" s="71"/>
      <c r="R100" s="71"/>
      <c r="S100" s="78"/>
      <c r="T100" s="44">
        <v>1</v>
      </c>
      <c r="U100" s="44">
        <v>0</v>
      </c>
      <c r="V100" s="45">
        <v>0</v>
      </c>
      <c r="W100" s="45">
        <v>0.108923</v>
      </c>
      <c r="X100" s="45">
        <v>0.149931</v>
      </c>
      <c r="Y100" s="45">
        <v>0.00337</v>
      </c>
      <c r="Z100" s="45">
        <v>0</v>
      </c>
      <c r="AA100" s="45">
        <v>0</v>
      </c>
      <c r="AB100" s="66">
        <v>100</v>
      </c>
      <c r="AC1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0" s="67"/>
      <c r="AE100" t="s">
        <v>1714</v>
      </c>
      <c r="AF100" s="74" t="s">
        <v>1881</v>
      </c>
      <c r="AG100">
        <v>1375</v>
      </c>
      <c r="AH100">
        <v>1131</v>
      </c>
      <c r="AI100">
        <v>6844</v>
      </c>
      <c r="AJ100">
        <v>0</v>
      </c>
      <c r="AK100">
        <v>8107</v>
      </c>
      <c r="AL100">
        <v>276</v>
      </c>
      <c r="AM100" t="b">
        <v>0</v>
      </c>
      <c r="AN100" s="73">
        <v>44839.511712962965</v>
      </c>
      <c r="AO100" t="s">
        <v>1989</v>
      </c>
      <c r="AP100" t="s">
        <v>2181</v>
      </c>
      <c r="AY100" t="b">
        <v>0</v>
      </c>
      <c r="BB100" t="b">
        <v>0</v>
      </c>
      <c r="BC100" t="b">
        <v>1</v>
      </c>
      <c r="BD100" t="b">
        <v>1</v>
      </c>
      <c r="BE100" t="b">
        <v>0</v>
      </c>
      <c r="BF100" t="b">
        <v>0</v>
      </c>
      <c r="BG100" t="b">
        <v>0</v>
      </c>
      <c r="BH100" t="b">
        <v>0</v>
      </c>
      <c r="BI100" s="76" t="str">
        <f>HYPERLINK("https://pbs.twimg.com/profile_banners/1577633793502236672/1674608214")</f>
        <v>https://pbs.twimg.com/profile_banners/1577633793502236672/1674608214</v>
      </c>
      <c r="BK100" t="s">
        <v>2343</v>
      </c>
      <c r="BL100" t="b">
        <v>0</v>
      </c>
      <c r="BN100" t="s">
        <v>65</v>
      </c>
      <c r="BO100" t="s">
        <v>2345</v>
      </c>
      <c r="BP100" s="76" t="str">
        <f>HYPERLINK("https://twitter.com/cordovareborn")</f>
        <v>https://twitter.com/cordovareborn</v>
      </c>
      <c r="BQ100" s="44"/>
      <c r="BR100" s="44"/>
      <c r="BS100" s="44"/>
      <c r="BT100" s="44"/>
      <c r="BU100" s="44"/>
      <c r="BV100" s="44"/>
      <c r="BW100" s="44"/>
      <c r="BX100" s="44"/>
      <c r="BY100" s="44"/>
      <c r="BZ100" s="44"/>
      <c r="CA100" s="44"/>
      <c r="CB100" s="45"/>
      <c r="CC100" s="44"/>
      <c r="CD100" s="45"/>
      <c r="CE100" s="44"/>
      <c r="CF100" s="45"/>
      <c r="CG100" s="44"/>
      <c r="CH100" s="45"/>
      <c r="CI100" s="44"/>
      <c r="CJ100" s="112" t="str">
        <f>REPLACE(INDEX(GroupVertices[Group],MATCH("~"&amp;Vertices[[#This Row],[Vertex]],GroupVertices[Vertex],0)),1,1,"")</f>
        <v>1</v>
      </c>
      <c r="CK100" s="44"/>
      <c r="CL100" s="44"/>
      <c r="CM100" s="44"/>
      <c r="CN100" s="44"/>
      <c r="CO100" s="2"/>
    </row>
    <row r="101" spans="1:93" ht="41.45" customHeight="1">
      <c r="A101" s="59" t="s">
        <v>439</v>
      </c>
      <c r="C101" s="60"/>
      <c r="D101" s="60" t="s">
        <v>64</v>
      </c>
      <c r="E101" s="61">
        <v>1.5</v>
      </c>
      <c r="F101" s="63"/>
      <c r="G101" s="92" t="str">
        <f>HYPERLINK("https://pbs.twimg.com/profile_images/1580085892517023744/8HFPiQsU_normal.jpg")</f>
        <v>https://pbs.twimg.com/profile_images/1580085892517023744/8HFPiQsU_normal.jpg</v>
      </c>
      <c r="H101" s="60"/>
      <c r="I101" s="64" t="str">
        <f>Vertices[[#This Row],[Vertex]]</f>
        <v>allmumtadz</v>
      </c>
      <c r="J101" s="65"/>
      <c r="K101" s="65"/>
      <c r="L101" s="64"/>
      <c r="M101" s="68"/>
      <c r="N101" s="69">
        <v>253.89715576171875</v>
      </c>
      <c r="O101" s="69">
        <v>7070.236328125</v>
      </c>
      <c r="P101" s="70"/>
      <c r="Q101" s="71"/>
      <c r="R101" s="71"/>
      <c r="S101" s="78"/>
      <c r="T101" s="44">
        <v>1</v>
      </c>
      <c r="U101" s="44">
        <v>0</v>
      </c>
      <c r="V101" s="45">
        <v>0</v>
      </c>
      <c r="W101" s="45">
        <v>0.108923</v>
      </c>
      <c r="X101" s="45">
        <v>0.149931</v>
      </c>
      <c r="Y101" s="45">
        <v>0.00337</v>
      </c>
      <c r="Z101" s="45">
        <v>0</v>
      </c>
      <c r="AA101" s="45">
        <v>0</v>
      </c>
      <c r="AB101" s="66">
        <v>101</v>
      </c>
      <c r="AC1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1" s="67"/>
      <c r="AE101" t="s">
        <v>1705</v>
      </c>
      <c r="AF101" s="74" t="s">
        <v>1872</v>
      </c>
      <c r="AG101">
        <v>1271</v>
      </c>
      <c r="AH101">
        <v>2309</v>
      </c>
      <c r="AI101">
        <v>5759</v>
      </c>
      <c r="AJ101">
        <v>0</v>
      </c>
      <c r="AK101">
        <v>6080</v>
      </c>
      <c r="AL101">
        <v>111</v>
      </c>
      <c r="AM101" t="b">
        <v>0</v>
      </c>
      <c r="AN101" s="73">
        <v>44823.43027777778</v>
      </c>
      <c r="AO101" t="s">
        <v>1987</v>
      </c>
      <c r="AP101" t="s">
        <v>2173</v>
      </c>
      <c r="AQ101" s="76" t="str">
        <f>HYPERLINK("https://t.co/G4KcpXnRbv")</f>
        <v>https://t.co/G4KcpXnRbv</v>
      </c>
      <c r="AR101" s="76" t="str">
        <f>HYPERLINK("http://www.gmail.com")</f>
        <v>http://www.gmail.com</v>
      </c>
      <c r="AS101" t="s">
        <v>2309</v>
      </c>
      <c r="AW101">
        <v>1.60471306545008E+18</v>
      </c>
      <c r="AX101" s="76" t="str">
        <f>HYPERLINK("https://t.co/G4KcpXnRbv")</f>
        <v>https://t.co/G4KcpXnRbv</v>
      </c>
      <c r="AY101" t="b">
        <v>0</v>
      </c>
      <c r="BB101" t="b">
        <v>0</v>
      </c>
      <c r="BC101" t="b">
        <v>1</v>
      </c>
      <c r="BD101" t="b">
        <v>1</v>
      </c>
      <c r="BE101" t="b">
        <v>0</v>
      </c>
      <c r="BF101" t="b">
        <v>0</v>
      </c>
      <c r="BG101" t="b">
        <v>0</v>
      </c>
      <c r="BH101" t="b">
        <v>0</v>
      </c>
      <c r="BK101" t="s">
        <v>2343</v>
      </c>
      <c r="BL101" t="b">
        <v>0</v>
      </c>
      <c r="BN101" t="s">
        <v>65</v>
      </c>
      <c r="BO101" t="s">
        <v>2345</v>
      </c>
      <c r="BP101" s="76" t="str">
        <f>HYPERLINK("https://twitter.com/allmumtadz")</f>
        <v>https://twitter.com/allmumtadz</v>
      </c>
      <c r="BQ101" s="44"/>
      <c r="BR101" s="44"/>
      <c r="BS101" s="44"/>
      <c r="BT101" s="44"/>
      <c r="BU101" s="44"/>
      <c r="BV101" s="44"/>
      <c r="BW101" s="44"/>
      <c r="BX101" s="44"/>
      <c r="BY101" s="44"/>
      <c r="BZ101" s="44"/>
      <c r="CA101" s="44"/>
      <c r="CB101" s="45"/>
      <c r="CC101" s="44"/>
      <c r="CD101" s="45"/>
      <c r="CE101" s="44"/>
      <c r="CF101" s="45"/>
      <c r="CG101" s="44"/>
      <c r="CH101" s="45"/>
      <c r="CI101" s="44"/>
      <c r="CJ101" s="112" t="str">
        <f>REPLACE(INDEX(GroupVertices[Group],MATCH("~"&amp;Vertices[[#This Row],[Vertex]],GroupVertices[Vertex],0)),1,1,"")</f>
        <v>1</v>
      </c>
      <c r="CK101" s="44"/>
      <c r="CL101" s="44"/>
      <c r="CM101" s="44"/>
      <c r="CN101" s="44"/>
      <c r="CO101" s="2"/>
    </row>
    <row r="102" spans="1:93" ht="41.45" customHeight="1">
      <c r="A102" s="59" t="s">
        <v>442</v>
      </c>
      <c r="C102" s="60"/>
      <c r="D102" s="60" t="s">
        <v>64</v>
      </c>
      <c r="E102" s="61">
        <v>1.5</v>
      </c>
      <c r="F102" s="63"/>
      <c r="G102" s="92" t="str">
        <f>HYPERLINK("https://pbs.twimg.com/profile_images/1651597471079079936/CcyVC2Sh_normal.jpg")</f>
        <v>https://pbs.twimg.com/profile_images/1651597471079079936/CcyVC2Sh_normal.jpg</v>
      </c>
      <c r="H102" s="60"/>
      <c r="I102" s="64" t="str">
        <f>Vertices[[#This Row],[Vertex]]</f>
        <v>kasuk12kp</v>
      </c>
      <c r="J102" s="65"/>
      <c r="K102" s="65"/>
      <c r="L102" s="64"/>
      <c r="M102" s="68"/>
      <c r="N102" s="69">
        <v>928.1458129882812</v>
      </c>
      <c r="O102" s="69">
        <v>9052.8056640625</v>
      </c>
      <c r="P102" s="70"/>
      <c r="Q102" s="71"/>
      <c r="R102" s="71"/>
      <c r="S102" s="78"/>
      <c r="T102" s="44">
        <v>1</v>
      </c>
      <c r="U102" s="44">
        <v>0</v>
      </c>
      <c r="V102" s="45">
        <v>0</v>
      </c>
      <c r="W102" s="45">
        <v>0.108923</v>
      </c>
      <c r="X102" s="45">
        <v>0.149931</v>
      </c>
      <c r="Y102" s="45">
        <v>0.00337</v>
      </c>
      <c r="Z102" s="45">
        <v>0</v>
      </c>
      <c r="AA102" s="45">
        <v>0</v>
      </c>
      <c r="AB102" s="66">
        <v>102</v>
      </c>
      <c r="AC1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2" s="67"/>
      <c r="AE102" t="s">
        <v>1708</v>
      </c>
      <c r="AF102" s="74" t="s">
        <v>1875</v>
      </c>
      <c r="AG102">
        <v>1129</v>
      </c>
      <c r="AH102">
        <v>1561</v>
      </c>
      <c r="AI102">
        <v>5974</v>
      </c>
      <c r="AJ102">
        <v>0</v>
      </c>
      <c r="AK102">
        <v>30692</v>
      </c>
      <c r="AL102">
        <v>2258</v>
      </c>
      <c r="AM102" t="b">
        <v>0</v>
      </c>
      <c r="AN102" s="73">
        <v>44804.12601851852</v>
      </c>
      <c r="AP102" t="s">
        <v>2176</v>
      </c>
      <c r="AW102">
        <v>1.57466139563054E+18</v>
      </c>
      <c r="AY102" t="b">
        <v>0</v>
      </c>
      <c r="BB102" t="b">
        <v>0</v>
      </c>
      <c r="BC102" t="b">
        <v>1</v>
      </c>
      <c r="BD102" t="b">
        <v>1</v>
      </c>
      <c r="BE102" t="b">
        <v>0</v>
      </c>
      <c r="BF102" t="b">
        <v>1</v>
      </c>
      <c r="BG102" t="b">
        <v>0</v>
      </c>
      <c r="BH102" t="b">
        <v>0</v>
      </c>
      <c r="BI102" s="76" t="str">
        <f>HYPERLINK("https://pbs.twimg.com/profile_banners/1564810229941817349/1665208933")</f>
        <v>https://pbs.twimg.com/profile_banners/1564810229941817349/1665208933</v>
      </c>
      <c r="BK102" t="s">
        <v>2343</v>
      </c>
      <c r="BL102" t="b">
        <v>0</v>
      </c>
      <c r="BN102" t="s">
        <v>65</v>
      </c>
      <c r="BO102" t="s">
        <v>2345</v>
      </c>
      <c r="BP102" s="76" t="str">
        <f>HYPERLINK("https://twitter.com/kasuk12kp")</f>
        <v>https://twitter.com/kasuk12kp</v>
      </c>
      <c r="BQ102" s="44"/>
      <c r="BR102" s="44"/>
      <c r="BS102" s="44"/>
      <c r="BT102" s="44"/>
      <c r="BU102" s="44"/>
      <c r="BV102" s="44"/>
      <c r="BW102" s="44"/>
      <c r="BX102" s="44"/>
      <c r="BY102" s="44"/>
      <c r="BZ102" s="44"/>
      <c r="CA102" s="44"/>
      <c r="CB102" s="45"/>
      <c r="CC102" s="44"/>
      <c r="CD102" s="45"/>
      <c r="CE102" s="44"/>
      <c r="CF102" s="45"/>
      <c r="CG102" s="44"/>
      <c r="CH102" s="45"/>
      <c r="CI102" s="44"/>
      <c r="CJ102" s="112" t="str">
        <f>REPLACE(INDEX(GroupVertices[Group],MATCH("~"&amp;Vertices[[#This Row],[Vertex]],GroupVertices[Vertex],0)),1,1,"")</f>
        <v>1</v>
      </c>
      <c r="CK102" s="44"/>
      <c r="CL102" s="44"/>
      <c r="CM102" s="44"/>
      <c r="CN102" s="44"/>
      <c r="CO102" s="2"/>
    </row>
    <row r="103" spans="1:93" ht="41.45" customHeight="1">
      <c r="A103" s="59" t="s">
        <v>458</v>
      </c>
      <c r="C103" s="60"/>
      <c r="D103" s="60" t="s">
        <v>64</v>
      </c>
      <c r="E103" s="61">
        <v>1.5</v>
      </c>
      <c r="F103" s="63"/>
      <c r="G103" s="92" t="str">
        <f>HYPERLINK("https://pbs.twimg.com/profile_images/1603736848798732291/hjLySMZo_normal.jpg")</f>
        <v>https://pbs.twimg.com/profile_images/1603736848798732291/hjLySMZo_normal.jpg</v>
      </c>
      <c r="H103" s="60"/>
      <c r="I103" s="64" t="str">
        <f>Vertices[[#This Row],[Vertex]]</f>
        <v>s3creth_m4nz</v>
      </c>
      <c r="J103" s="65"/>
      <c r="K103" s="65"/>
      <c r="L103" s="64"/>
      <c r="M103" s="68"/>
      <c r="N103" s="69">
        <v>1231.2587890625</v>
      </c>
      <c r="O103" s="69">
        <v>8035.962890625</v>
      </c>
      <c r="P103" s="70"/>
      <c r="Q103" s="71"/>
      <c r="R103" s="71"/>
      <c r="S103" s="78"/>
      <c r="T103" s="44">
        <v>1</v>
      </c>
      <c r="U103" s="44">
        <v>0</v>
      </c>
      <c r="V103" s="45">
        <v>0</v>
      </c>
      <c r="W103" s="45">
        <v>0.108923</v>
      </c>
      <c r="X103" s="45">
        <v>0.149931</v>
      </c>
      <c r="Y103" s="45">
        <v>0.00337</v>
      </c>
      <c r="Z103" s="45">
        <v>0</v>
      </c>
      <c r="AA103" s="45">
        <v>0</v>
      </c>
      <c r="AB103" s="66">
        <v>103</v>
      </c>
      <c r="AC1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3" s="67"/>
      <c r="AE103" t="s">
        <v>1724</v>
      </c>
      <c r="AF103" s="74" t="s">
        <v>1891</v>
      </c>
      <c r="AG103">
        <v>1062</v>
      </c>
      <c r="AH103">
        <v>1107</v>
      </c>
      <c r="AI103">
        <v>15953</v>
      </c>
      <c r="AJ103">
        <v>0</v>
      </c>
      <c r="AK103">
        <v>11660</v>
      </c>
      <c r="AL103">
        <v>448</v>
      </c>
      <c r="AM103" t="b">
        <v>0</v>
      </c>
      <c r="AN103" s="73">
        <v>44383.48304398148</v>
      </c>
      <c r="AP103" t="s">
        <v>2189</v>
      </c>
      <c r="AW103">
        <v>1.51667247344973E+18</v>
      </c>
      <c r="AY103" t="b">
        <v>0</v>
      </c>
      <c r="BB103" t="b">
        <v>0</v>
      </c>
      <c r="BC103" t="b">
        <v>0</v>
      </c>
      <c r="BD103" t="b">
        <v>1</v>
      </c>
      <c r="BE103" t="b">
        <v>0</v>
      </c>
      <c r="BF103" t="b">
        <v>1</v>
      </c>
      <c r="BG103" t="b">
        <v>0</v>
      </c>
      <c r="BH103" t="b">
        <v>0</v>
      </c>
      <c r="BI103" s="76" t="str">
        <f>HYPERLINK("https://pbs.twimg.com/profile_banners/1412374538722058244/1668054256")</f>
        <v>https://pbs.twimg.com/profile_banners/1412374538722058244/1668054256</v>
      </c>
      <c r="BK103" t="s">
        <v>2343</v>
      </c>
      <c r="BL103" t="b">
        <v>0</v>
      </c>
      <c r="BN103" t="s">
        <v>65</v>
      </c>
      <c r="BO103" t="s">
        <v>2345</v>
      </c>
      <c r="BP103" s="76" t="str">
        <f>HYPERLINK("https://twitter.com/s3creth_m4nz")</f>
        <v>https://twitter.com/s3creth_m4nz</v>
      </c>
      <c r="BQ103" s="44"/>
      <c r="BR103" s="44"/>
      <c r="BS103" s="44"/>
      <c r="BT103" s="44"/>
      <c r="BU103" s="44"/>
      <c r="BV103" s="44"/>
      <c r="BW103" s="44"/>
      <c r="BX103" s="44"/>
      <c r="BY103" s="44"/>
      <c r="BZ103" s="44"/>
      <c r="CA103" s="44"/>
      <c r="CB103" s="45"/>
      <c r="CC103" s="44"/>
      <c r="CD103" s="45"/>
      <c r="CE103" s="44"/>
      <c r="CF103" s="45"/>
      <c r="CG103" s="44"/>
      <c r="CH103" s="45"/>
      <c r="CI103" s="44"/>
      <c r="CJ103" s="112" t="str">
        <f>REPLACE(INDEX(GroupVertices[Group],MATCH("~"&amp;Vertices[[#This Row],[Vertex]],GroupVertices[Vertex],0)),1,1,"")</f>
        <v>1</v>
      </c>
      <c r="CK103" s="44"/>
      <c r="CL103" s="44"/>
      <c r="CM103" s="44"/>
      <c r="CN103" s="44"/>
      <c r="CO103" s="2"/>
    </row>
    <row r="104" spans="1:93" ht="41.45" customHeight="1">
      <c r="A104" s="59" t="s">
        <v>426</v>
      </c>
      <c r="C104" s="60"/>
      <c r="D104" s="60" t="s">
        <v>64</v>
      </c>
      <c r="E104" s="61">
        <v>1.5</v>
      </c>
      <c r="F104" s="63"/>
      <c r="G104" s="92" t="str">
        <f>HYPERLINK("https://pbs.twimg.com/profile_images/1178689554498277376/MhTOghEi_normal.jpg")</f>
        <v>https://pbs.twimg.com/profile_images/1178689554498277376/MhTOghEi_normal.jpg</v>
      </c>
      <c r="H104" s="60"/>
      <c r="I104" s="64" t="str">
        <f>Vertices[[#This Row],[Vertex]]</f>
        <v>molfina14</v>
      </c>
      <c r="J104" s="65"/>
      <c r="K104" s="65"/>
      <c r="L104" s="64"/>
      <c r="M104" s="68"/>
      <c r="N104" s="69">
        <v>256.0603942871094</v>
      </c>
      <c r="O104" s="69">
        <v>5141.35302734375</v>
      </c>
      <c r="P104" s="70"/>
      <c r="Q104" s="71"/>
      <c r="R104" s="71"/>
      <c r="S104" s="78"/>
      <c r="T104" s="44">
        <v>1</v>
      </c>
      <c r="U104" s="44">
        <v>0</v>
      </c>
      <c r="V104" s="45">
        <v>0</v>
      </c>
      <c r="W104" s="45">
        <v>0.108923</v>
      </c>
      <c r="X104" s="45">
        <v>0.149931</v>
      </c>
      <c r="Y104" s="45">
        <v>0.00337</v>
      </c>
      <c r="Z104" s="45">
        <v>0</v>
      </c>
      <c r="AA104" s="45">
        <v>0</v>
      </c>
      <c r="AB104" s="66">
        <v>104</v>
      </c>
      <c r="AC1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4" s="67"/>
      <c r="AE104" t="s">
        <v>1692</v>
      </c>
      <c r="AF104" s="74" t="s">
        <v>1859</v>
      </c>
      <c r="AG104">
        <v>1028</v>
      </c>
      <c r="AH104">
        <v>263</v>
      </c>
      <c r="AI104">
        <v>117419</v>
      </c>
      <c r="AJ104">
        <v>0</v>
      </c>
      <c r="AK104">
        <v>49782</v>
      </c>
      <c r="AL104">
        <v>28</v>
      </c>
      <c r="AM104" t="b">
        <v>0</v>
      </c>
      <c r="AN104" s="73">
        <v>41425.14729166667</v>
      </c>
      <c r="AO104" t="s">
        <v>1982</v>
      </c>
      <c r="AP104" t="s">
        <v>2164</v>
      </c>
      <c r="AY104" t="b">
        <v>0</v>
      </c>
      <c r="BB104" t="b">
        <v>0</v>
      </c>
      <c r="BC104" t="b">
        <v>1</v>
      </c>
      <c r="BD104" t="b">
        <v>1</v>
      </c>
      <c r="BE104" t="b">
        <v>0</v>
      </c>
      <c r="BF104" t="b">
        <v>1</v>
      </c>
      <c r="BG104" t="b">
        <v>0</v>
      </c>
      <c r="BH104" t="b">
        <v>0</v>
      </c>
      <c r="BK104" t="s">
        <v>2343</v>
      </c>
      <c r="BL104" t="b">
        <v>0</v>
      </c>
      <c r="BN104" t="s">
        <v>65</v>
      </c>
      <c r="BO104" t="s">
        <v>2345</v>
      </c>
      <c r="BP104" s="76" t="str">
        <f>HYPERLINK("https://twitter.com/molfina14")</f>
        <v>https://twitter.com/molfina14</v>
      </c>
      <c r="BQ104" s="44"/>
      <c r="BR104" s="44"/>
      <c r="BS104" s="44"/>
      <c r="BT104" s="44"/>
      <c r="BU104" s="44"/>
      <c r="BV104" s="44"/>
      <c r="BW104" s="44"/>
      <c r="BX104" s="44"/>
      <c r="BY104" s="44"/>
      <c r="BZ104" s="44"/>
      <c r="CA104" s="44"/>
      <c r="CB104" s="45"/>
      <c r="CC104" s="44"/>
      <c r="CD104" s="45"/>
      <c r="CE104" s="44"/>
      <c r="CF104" s="45"/>
      <c r="CG104" s="44"/>
      <c r="CH104" s="45"/>
      <c r="CI104" s="44"/>
      <c r="CJ104" s="112" t="str">
        <f>REPLACE(INDEX(GroupVertices[Group],MATCH("~"&amp;Vertices[[#This Row],[Vertex]],GroupVertices[Vertex],0)),1,1,"")</f>
        <v>1</v>
      </c>
      <c r="CK104" s="44"/>
      <c r="CL104" s="44"/>
      <c r="CM104" s="44"/>
      <c r="CN104" s="44"/>
      <c r="CO104" s="2"/>
    </row>
    <row r="105" spans="1:93" ht="41.45" customHeight="1">
      <c r="A105" s="59" t="s">
        <v>434</v>
      </c>
      <c r="C105" s="60"/>
      <c r="D105" s="60" t="s">
        <v>64</v>
      </c>
      <c r="E105" s="61">
        <v>1.5</v>
      </c>
      <c r="F105" s="63"/>
      <c r="G105" s="92" t="str">
        <f>HYPERLINK("https://pbs.twimg.com/profile_images/1574256001775443970/RnEUO6sx_normal.jpg")</f>
        <v>https://pbs.twimg.com/profile_images/1574256001775443970/RnEUO6sx_normal.jpg</v>
      </c>
      <c r="H105" s="60"/>
      <c r="I105" s="64" t="str">
        <f>Vertices[[#This Row],[Vertex]]</f>
        <v>halaman_qu</v>
      </c>
      <c r="J105" s="65"/>
      <c r="K105" s="65"/>
      <c r="L105" s="64"/>
      <c r="M105" s="68"/>
      <c r="N105" s="69">
        <v>1348.7906494140625</v>
      </c>
      <c r="O105" s="69">
        <v>6939.57421875</v>
      </c>
      <c r="P105" s="70"/>
      <c r="Q105" s="71"/>
      <c r="R105" s="71"/>
      <c r="S105" s="78"/>
      <c r="T105" s="44">
        <v>1</v>
      </c>
      <c r="U105" s="44">
        <v>0</v>
      </c>
      <c r="V105" s="45">
        <v>0</v>
      </c>
      <c r="W105" s="45">
        <v>0.108923</v>
      </c>
      <c r="X105" s="45">
        <v>0.149931</v>
      </c>
      <c r="Y105" s="45">
        <v>0.00337</v>
      </c>
      <c r="Z105" s="45">
        <v>0</v>
      </c>
      <c r="AA105" s="45">
        <v>0</v>
      </c>
      <c r="AB105" s="66">
        <v>105</v>
      </c>
      <c r="AC1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5" s="67"/>
      <c r="AE105" t="s">
        <v>1700</v>
      </c>
      <c r="AF105" s="74" t="s">
        <v>1867</v>
      </c>
      <c r="AG105">
        <v>955</v>
      </c>
      <c r="AH105">
        <v>847</v>
      </c>
      <c r="AI105">
        <v>10950</v>
      </c>
      <c r="AJ105">
        <v>0</v>
      </c>
      <c r="AK105">
        <v>10251</v>
      </c>
      <c r="AL105">
        <v>263</v>
      </c>
      <c r="AM105" t="b">
        <v>0</v>
      </c>
      <c r="AN105" s="73">
        <v>44830.18732638889</v>
      </c>
      <c r="AP105" t="s">
        <v>2169</v>
      </c>
      <c r="AW105">
        <v>1.62288612787395E+18</v>
      </c>
      <c r="AY105" t="b">
        <v>0</v>
      </c>
      <c r="BB105" t="b">
        <v>0</v>
      </c>
      <c r="BC105" t="b">
        <v>1</v>
      </c>
      <c r="BD105" t="b">
        <v>1</v>
      </c>
      <c r="BE105" t="b">
        <v>0</v>
      </c>
      <c r="BF105" t="b">
        <v>0</v>
      </c>
      <c r="BG105" t="b">
        <v>0</v>
      </c>
      <c r="BH105" t="b">
        <v>0</v>
      </c>
      <c r="BI105" s="76" t="str">
        <f>HYPERLINK("https://pbs.twimg.com/profile_banners/1574254714551930881/1664168193")</f>
        <v>https://pbs.twimg.com/profile_banners/1574254714551930881/1664168193</v>
      </c>
      <c r="BK105" t="s">
        <v>2343</v>
      </c>
      <c r="BL105" t="b">
        <v>0</v>
      </c>
      <c r="BN105" t="s">
        <v>66</v>
      </c>
      <c r="BO105" t="s">
        <v>2345</v>
      </c>
      <c r="BP105" s="76" t="str">
        <f>HYPERLINK("https://twitter.com/halaman_qu")</f>
        <v>https://twitter.com/halaman_qu</v>
      </c>
      <c r="BQ105" s="44"/>
      <c r="BR105" s="44"/>
      <c r="BS105" s="44"/>
      <c r="BT105" s="44"/>
      <c r="BU105" s="44"/>
      <c r="BV105" s="44"/>
      <c r="BW105" s="44"/>
      <c r="BX105" s="44"/>
      <c r="BY105" s="44"/>
      <c r="BZ105" s="44"/>
      <c r="CA105" s="44"/>
      <c r="CB105" s="45"/>
      <c r="CC105" s="44"/>
      <c r="CD105" s="45"/>
      <c r="CE105" s="44"/>
      <c r="CF105" s="45"/>
      <c r="CG105" s="44"/>
      <c r="CH105" s="45"/>
      <c r="CI105" s="44"/>
      <c r="CJ105" s="112" t="str">
        <f>REPLACE(INDEX(GroupVertices[Group],MATCH("~"&amp;Vertices[[#This Row],[Vertex]],GroupVertices[Vertex],0)),1,1,"")</f>
        <v>1</v>
      </c>
      <c r="CK105" s="44"/>
      <c r="CL105" s="44"/>
      <c r="CM105" s="44"/>
      <c r="CN105" s="44"/>
      <c r="CO105" s="2"/>
    </row>
    <row r="106" spans="1:93" ht="41.45" customHeight="1">
      <c r="A106" s="59" t="s">
        <v>445</v>
      </c>
      <c r="C106" s="60"/>
      <c r="D106" s="60" t="s">
        <v>64</v>
      </c>
      <c r="E106" s="61">
        <v>1.5</v>
      </c>
      <c r="F106" s="63"/>
      <c r="G106" s="92" t="str">
        <f>HYPERLINK("https://pbs.twimg.com/profile_images/1404662044834471937/T6yJv2qm_normal.jpg")</f>
        <v>https://pbs.twimg.com/profile_images/1404662044834471937/T6yJv2qm_normal.jpg</v>
      </c>
      <c r="H106" s="60"/>
      <c r="I106" s="64" t="str">
        <f>Vertices[[#This Row],[Vertex]]</f>
        <v>zahra42981574</v>
      </c>
      <c r="J106" s="65"/>
      <c r="K106" s="65"/>
      <c r="L106" s="64"/>
      <c r="M106" s="68"/>
      <c r="N106" s="69">
        <v>216.19772338867188</v>
      </c>
      <c r="O106" s="69">
        <v>3039.455810546875</v>
      </c>
      <c r="P106" s="70"/>
      <c r="Q106" s="71"/>
      <c r="R106" s="71"/>
      <c r="S106" s="78"/>
      <c r="T106" s="44">
        <v>1</v>
      </c>
      <c r="U106" s="44">
        <v>0</v>
      </c>
      <c r="V106" s="45">
        <v>0</v>
      </c>
      <c r="W106" s="45">
        <v>0.108923</v>
      </c>
      <c r="X106" s="45">
        <v>0.149931</v>
      </c>
      <c r="Y106" s="45">
        <v>0.00337</v>
      </c>
      <c r="Z106" s="45">
        <v>0</v>
      </c>
      <c r="AA106" s="45">
        <v>0</v>
      </c>
      <c r="AB106" s="66">
        <v>106</v>
      </c>
      <c r="AC1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6" s="67"/>
      <c r="AE106" t="s">
        <v>1711</v>
      </c>
      <c r="AF106" s="74" t="s">
        <v>1878</v>
      </c>
      <c r="AG106">
        <v>932</v>
      </c>
      <c r="AH106">
        <v>796</v>
      </c>
      <c r="AI106">
        <v>3365</v>
      </c>
      <c r="AJ106">
        <v>0</v>
      </c>
      <c r="AK106">
        <v>2914</v>
      </c>
      <c r="AL106">
        <v>25</v>
      </c>
      <c r="AM106" t="b">
        <v>0</v>
      </c>
      <c r="AN106" s="73">
        <v>44362.11210648148</v>
      </c>
      <c r="AP106" t="s">
        <v>2178</v>
      </c>
      <c r="AY106" t="b">
        <v>0</v>
      </c>
      <c r="BB106" t="b">
        <v>0</v>
      </c>
      <c r="BC106" t="b">
        <v>0</v>
      </c>
      <c r="BD106" t="b">
        <v>1</v>
      </c>
      <c r="BE106" t="b">
        <v>0</v>
      </c>
      <c r="BF106" t="b">
        <v>1</v>
      </c>
      <c r="BG106" t="b">
        <v>0</v>
      </c>
      <c r="BH106" t="b">
        <v>0</v>
      </c>
      <c r="BK106" t="s">
        <v>2343</v>
      </c>
      <c r="BL106" t="b">
        <v>0</v>
      </c>
      <c r="BN106" t="s">
        <v>65</v>
      </c>
      <c r="BO106" t="s">
        <v>2345</v>
      </c>
      <c r="BP106" s="76" t="str">
        <f>HYPERLINK("https://twitter.com/zahra42981574")</f>
        <v>https://twitter.com/zahra42981574</v>
      </c>
      <c r="BQ106" s="44"/>
      <c r="BR106" s="44"/>
      <c r="BS106" s="44"/>
      <c r="BT106" s="44"/>
      <c r="BU106" s="44"/>
      <c r="BV106" s="44"/>
      <c r="BW106" s="44"/>
      <c r="BX106" s="44"/>
      <c r="BY106" s="44"/>
      <c r="BZ106" s="44"/>
      <c r="CA106" s="44"/>
      <c r="CB106" s="45"/>
      <c r="CC106" s="44"/>
      <c r="CD106" s="45"/>
      <c r="CE106" s="44"/>
      <c r="CF106" s="45"/>
      <c r="CG106" s="44"/>
      <c r="CH106" s="45"/>
      <c r="CI106" s="44"/>
      <c r="CJ106" s="112" t="str">
        <f>REPLACE(INDEX(GroupVertices[Group],MATCH("~"&amp;Vertices[[#This Row],[Vertex]],GroupVertices[Vertex],0)),1,1,"")</f>
        <v>1</v>
      </c>
      <c r="CK106" s="44"/>
      <c r="CL106" s="44"/>
      <c r="CM106" s="44"/>
      <c r="CN106" s="44"/>
      <c r="CO106" s="2"/>
    </row>
    <row r="107" spans="1:93" ht="41.45" customHeight="1">
      <c r="A107" s="59" t="s">
        <v>433</v>
      </c>
      <c r="C107" s="60"/>
      <c r="D107" s="60" t="s">
        <v>64</v>
      </c>
      <c r="E107" s="61">
        <v>1.5</v>
      </c>
      <c r="F107" s="63"/>
      <c r="G107" s="92" t="str">
        <f>HYPERLINK("https://pbs.twimg.com/profile_images/1540310822676594688/muw5C6nA_normal.jpg")</f>
        <v>https://pbs.twimg.com/profile_images/1540310822676594688/muw5C6nA_normal.jpg</v>
      </c>
      <c r="H107" s="60"/>
      <c r="I107" s="64" t="str">
        <f>Vertices[[#This Row],[Vertex]]</f>
        <v>ngalalakon</v>
      </c>
      <c r="J107" s="65"/>
      <c r="K107" s="65"/>
      <c r="L107" s="64"/>
      <c r="M107" s="68"/>
      <c r="N107" s="69">
        <v>627.3819580078125</v>
      </c>
      <c r="O107" s="69">
        <v>8757.1240234375</v>
      </c>
      <c r="P107" s="70"/>
      <c r="Q107" s="71"/>
      <c r="R107" s="71"/>
      <c r="S107" s="78"/>
      <c r="T107" s="44">
        <v>1</v>
      </c>
      <c r="U107" s="44">
        <v>0</v>
      </c>
      <c r="V107" s="45">
        <v>0</v>
      </c>
      <c r="W107" s="45">
        <v>0.108923</v>
      </c>
      <c r="X107" s="45">
        <v>0.149931</v>
      </c>
      <c r="Y107" s="45">
        <v>0.00337</v>
      </c>
      <c r="Z107" s="45">
        <v>0</v>
      </c>
      <c r="AA107" s="45">
        <v>0</v>
      </c>
      <c r="AB107" s="66">
        <v>107</v>
      </c>
      <c r="AC1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7" s="67"/>
      <c r="AE107" t="s">
        <v>1699</v>
      </c>
      <c r="AF107" s="74" t="s">
        <v>1866</v>
      </c>
      <c r="AG107">
        <v>912</v>
      </c>
      <c r="AH107">
        <v>1014</v>
      </c>
      <c r="AI107">
        <v>53585</v>
      </c>
      <c r="AJ107">
        <v>0</v>
      </c>
      <c r="AK107">
        <v>13323</v>
      </c>
      <c r="AL107">
        <v>463</v>
      </c>
      <c r="AM107" t="b">
        <v>0</v>
      </c>
      <c r="AN107" s="73">
        <v>40801.51663194445</v>
      </c>
      <c r="AP107" t="s">
        <v>2168</v>
      </c>
      <c r="AY107" t="b">
        <v>0</v>
      </c>
      <c r="BB107" t="b">
        <v>1</v>
      </c>
      <c r="BC107" t="b">
        <v>1</v>
      </c>
      <c r="BD107" t="b">
        <v>0</v>
      </c>
      <c r="BE107" t="b">
        <v>0</v>
      </c>
      <c r="BF107" t="b">
        <v>1</v>
      </c>
      <c r="BG107" t="b">
        <v>0</v>
      </c>
      <c r="BH107" t="b">
        <v>0</v>
      </c>
      <c r="BI107" s="76" t="str">
        <f>HYPERLINK("https://pbs.twimg.com/profile_banners/373930288/1628342611")</f>
        <v>https://pbs.twimg.com/profile_banners/373930288/1628342611</v>
      </c>
      <c r="BK107" t="s">
        <v>2343</v>
      </c>
      <c r="BL107" t="b">
        <v>0</v>
      </c>
      <c r="BN107" t="s">
        <v>65</v>
      </c>
      <c r="BO107" t="s">
        <v>2345</v>
      </c>
      <c r="BP107" s="76" t="str">
        <f>HYPERLINK("https://twitter.com/ngalalakon")</f>
        <v>https://twitter.com/ngalalakon</v>
      </c>
      <c r="BQ107" s="44"/>
      <c r="BR107" s="44"/>
      <c r="BS107" s="44"/>
      <c r="BT107" s="44"/>
      <c r="BU107" s="44"/>
      <c r="BV107" s="44"/>
      <c r="BW107" s="44"/>
      <c r="BX107" s="44"/>
      <c r="BY107" s="44"/>
      <c r="BZ107" s="44"/>
      <c r="CA107" s="44"/>
      <c r="CB107" s="45"/>
      <c r="CC107" s="44"/>
      <c r="CD107" s="45"/>
      <c r="CE107" s="44"/>
      <c r="CF107" s="45"/>
      <c r="CG107" s="44"/>
      <c r="CH107" s="45"/>
      <c r="CI107" s="44"/>
      <c r="CJ107" s="112" t="str">
        <f>REPLACE(INDEX(GroupVertices[Group],MATCH("~"&amp;Vertices[[#This Row],[Vertex]],GroupVertices[Vertex],0)),1,1,"")</f>
        <v>1</v>
      </c>
      <c r="CK107" s="44"/>
      <c r="CL107" s="44"/>
      <c r="CM107" s="44"/>
      <c r="CN107" s="44"/>
      <c r="CO107" s="2"/>
    </row>
    <row r="108" spans="1:93" ht="41.45" customHeight="1">
      <c r="A108" s="59" t="s">
        <v>432</v>
      </c>
      <c r="C108" s="60"/>
      <c r="D108" s="60" t="s">
        <v>64</v>
      </c>
      <c r="E108" s="61">
        <v>1.5</v>
      </c>
      <c r="F108" s="63"/>
      <c r="G108" s="92" t="str">
        <f>HYPERLINK("https://pbs.twimg.com/profile_images/1595231964881387520/pibpiWdL_normal.jpg")</f>
        <v>https://pbs.twimg.com/profile_images/1595231964881387520/pibpiWdL_normal.jpg</v>
      </c>
      <c r="H108" s="60"/>
      <c r="I108" s="64" t="str">
        <f>Vertices[[#This Row],[Vertex]]</f>
        <v>cintada68225244</v>
      </c>
      <c r="J108" s="65"/>
      <c r="K108" s="65"/>
      <c r="L108" s="64"/>
      <c r="M108" s="68"/>
      <c r="N108" s="69">
        <v>972.25634765625</v>
      </c>
      <c r="O108" s="69">
        <v>7407.4228515625</v>
      </c>
      <c r="P108" s="70"/>
      <c r="Q108" s="71"/>
      <c r="R108" s="71"/>
      <c r="S108" s="78"/>
      <c r="T108" s="44">
        <v>1</v>
      </c>
      <c r="U108" s="44">
        <v>0</v>
      </c>
      <c r="V108" s="45">
        <v>0</v>
      </c>
      <c r="W108" s="45">
        <v>0.108923</v>
      </c>
      <c r="X108" s="45">
        <v>0.149931</v>
      </c>
      <c r="Y108" s="45">
        <v>0.00337</v>
      </c>
      <c r="Z108" s="45">
        <v>0</v>
      </c>
      <c r="AA108" s="45">
        <v>0</v>
      </c>
      <c r="AB108" s="66">
        <v>108</v>
      </c>
      <c r="AC1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8" s="67"/>
      <c r="AE108" t="s">
        <v>1698</v>
      </c>
      <c r="AF108" s="74" t="s">
        <v>1865</v>
      </c>
      <c r="AG108">
        <v>821</v>
      </c>
      <c r="AH108">
        <v>688</v>
      </c>
      <c r="AI108">
        <v>10046</v>
      </c>
      <c r="AJ108">
        <v>0</v>
      </c>
      <c r="AK108">
        <v>9557</v>
      </c>
      <c r="AL108">
        <v>222</v>
      </c>
      <c r="AM108" t="b">
        <v>0</v>
      </c>
      <c r="AN108" s="73">
        <v>44830.231041666666</v>
      </c>
      <c r="AP108" t="s">
        <v>2167</v>
      </c>
      <c r="AW108">
        <v>1.59660823712589E+18</v>
      </c>
      <c r="AY108" t="b">
        <v>0</v>
      </c>
      <c r="BB108" t="b">
        <v>1</v>
      </c>
      <c r="BC108" t="b">
        <v>1</v>
      </c>
      <c r="BD108" t="b">
        <v>1</v>
      </c>
      <c r="BE108" t="b">
        <v>0</v>
      </c>
      <c r="BF108" t="b">
        <v>0</v>
      </c>
      <c r="BG108" t="b">
        <v>0</v>
      </c>
      <c r="BH108" t="b">
        <v>0</v>
      </c>
      <c r="BI108" s="76" t="str">
        <f>HYPERLINK("https://pbs.twimg.com/profile_banners/1574270436036452352/1669496330")</f>
        <v>https://pbs.twimg.com/profile_banners/1574270436036452352/1669496330</v>
      </c>
      <c r="BK108" t="s">
        <v>2343</v>
      </c>
      <c r="BL108" t="b">
        <v>0</v>
      </c>
      <c r="BN108" t="s">
        <v>65</v>
      </c>
      <c r="BO108" t="s">
        <v>2345</v>
      </c>
      <c r="BP108" s="76" t="str">
        <f>HYPERLINK("https://twitter.com/cintada68225244")</f>
        <v>https://twitter.com/cintada68225244</v>
      </c>
      <c r="BQ108" s="44"/>
      <c r="BR108" s="44"/>
      <c r="BS108" s="44"/>
      <c r="BT108" s="44"/>
      <c r="BU108" s="44"/>
      <c r="BV108" s="44"/>
      <c r="BW108" s="44"/>
      <c r="BX108" s="44"/>
      <c r="BY108" s="44"/>
      <c r="BZ108" s="44"/>
      <c r="CA108" s="44"/>
      <c r="CB108" s="45"/>
      <c r="CC108" s="44"/>
      <c r="CD108" s="45"/>
      <c r="CE108" s="44"/>
      <c r="CF108" s="45"/>
      <c r="CG108" s="44"/>
      <c r="CH108" s="45"/>
      <c r="CI108" s="44"/>
      <c r="CJ108" s="112" t="str">
        <f>REPLACE(INDEX(GroupVertices[Group],MATCH("~"&amp;Vertices[[#This Row],[Vertex]],GroupVertices[Vertex],0)),1,1,"")</f>
        <v>1</v>
      </c>
      <c r="CK108" s="44"/>
      <c r="CL108" s="44"/>
      <c r="CM108" s="44"/>
      <c r="CN108" s="44"/>
      <c r="CO108" s="2"/>
    </row>
    <row r="109" spans="1:93" ht="41.45" customHeight="1">
      <c r="A109" s="59" t="s">
        <v>428</v>
      </c>
      <c r="C109" s="60"/>
      <c r="D109" s="60" t="s">
        <v>64</v>
      </c>
      <c r="E109" s="61">
        <v>1.5</v>
      </c>
      <c r="F109" s="63"/>
      <c r="G109" s="92" t="str">
        <f>HYPERLINK("https://pbs.twimg.com/profile_images/1729064215821074432/nUyx3zRd_normal.jpg")</f>
        <v>https://pbs.twimg.com/profile_images/1729064215821074432/nUyx3zRd_normal.jpg</v>
      </c>
      <c r="H109" s="60"/>
      <c r="I109" s="64" t="str">
        <f>Vertices[[#This Row],[Vertex]]</f>
        <v>yudikuncoro505</v>
      </c>
      <c r="J109" s="65"/>
      <c r="K109" s="65"/>
      <c r="L109" s="64"/>
      <c r="M109" s="68"/>
      <c r="N109" s="69">
        <v>1008.808349609375</v>
      </c>
      <c r="O109" s="69">
        <v>921.4088134765625</v>
      </c>
      <c r="P109" s="70"/>
      <c r="Q109" s="71"/>
      <c r="R109" s="71"/>
      <c r="S109" s="78"/>
      <c r="T109" s="44">
        <v>1</v>
      </c>
      <c r="U109" s="44">
        <v>0</v>
      </c>
      <c r="V109" s="45">
        <v>0</v>
      </c>
      <c r="W109" s="45">
        <v>0.108923</v>
      </c>
      <c r="X109" s="45">
        <v>0.149931</v>
      </c>
      <c r="Y109" s="45">
        <v>0.00337</v>
      </c>
      <c r="Z109" s="45">
        <v>0</v>
      </c>
      <c r="AA109" s="45">
        <v>0</v>
      </c>
      <c r="AB109" s="66">
        <v>109</v>
      </c>
      <c r="AC1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9" s="67"/>
      <c r="AE109" t="s">
        <v>1694</v>
      </c>
      <c r="AF109" s="74" t="s">
        <v>1861</v>
      </c>
      <c r="AG109">
        <v>783</v>
      </c>
      <c r="AH109">
        <v>806</v>
      </c>
      <c r="AI109">
        <v>12623</v>
      </c>
      <c r="AJ109">
        <v>2</v>
      </c>
      <c r="AK109">
        <v>45512</v>
      </c>
      <c r="AL109">
        <v>195</v>
      </c>
      <c r="AM109" t="b">
        <v>0</v>
      </c>
      <c r="AN109" s="73">
        <v>42349.63076388889</v>
      </c>
      <c r="AP109" t="s">
        <v>2165</v>
      </c>
      <c r="AY109" t="b">
        <v>0</v>
      </c>
      <c r="BB109" t="b">
        <v>1</v>
      </c>
      <c r="BC109" t="b">
        <v>0</v>
      </c>
      <c r="BD109" t="b">
        <v>1</v>
      </c>
      <c r="BE109" t="b">
        <v>0</v>
      </c>
      <c r="BF109" t="b">
        <v>1</v>
      </c>
      <c r="BG109" t="b">
        <v>0</v>
      </c>
      <c r="BH109" t="b">
        <v>0</v>
      </c>
      <c r="BI109" s="76" t="str">
        <f>HYPERLINK("https://pbs.twimg.com/profile_banners/4529416200/1688793077")</f>
        <v>https://pbs.twimg.com/profile_banners/4529416200/1688793077</v>
      </c>
      <c r="BK109" t="s">
        <v>2343</v>
      </c>
      <c r="BL109" t="b">
        <v>0</v>
      </c>
      <c r="BN109" t="s">
        <v>65</v>
      </c>
      <c r="BO109" t="s">
        <v>2345</v>
      </c>
      <c r="BP109" s="76" t="str">
        <f>HYPERLINK("https://twitter.com/yudikuncoro505")</f>
        <v>https://twitter.com/yudikuncoro505</v>
      </c>
      <c r="BQ109" s="44"/>
      <c r="BR109" s="44"/>
      <c r="BS109" s="44"/>
      <c r="BT109" s="44"/>
      <c r="BU109" s="44"/>
      <c r="BV109" s="44"/>
      <c r="BW109" s="44"/>
      <c r="BX109" s="44"/>
      <c r="BY109" s="44"/>
      <c r="BZ109" s="44"/>
      <c r="CA109" s="44"/>
      <c r="CB109" s="45"/>
      <c r="CC109" s="44"/>
      <c r="CD109" s="45"/>
      <c r="CE109" s="44"/>
      <c r="CF109" s="45"/>
      <c r="CG109" s="44"/>
      <c r="CH109" s="45"/>
      <c r="CI109" s="44"/>
      <c r="CJ109" s="112" t="str">
        <f>REPLACE(INDEX(GroupVertices[Group],MATCH("~"&amp;Vertices[[#This Row],[Vertex]],GroupVertices[Vertex],0)),1,1,"")</f>
        <v>1</v>
      </c>
      <c r="CK109" s="44"/>
      <c r="CL109" s="44"/>
      <c r="CM109" s="44"/>
      <c r="CN109" s="44"/>
      <c r="CO109" s="2"/>
    </row>
    <row r="110" spans="1:93" ht="41.45" customHeight="1">
      <c r="A110" s="59" t="s">
        <v>444</v>
      </c>
      <c r="C110" s="60"/>
      <c r="D110" s="60" t="s">
        <v>64</v>
      </c>
      <c r="E110" s="61">
        <v>1.5</v>
      </c>
      <c r="F110" s="63"/>
      <c r="G110" s="92" t="str">
        <f>HYPERLINK("https://pbs.twimg.com/profile_images/1337534092477263872/xNmq0zor_normal.jpg")</f>
        <v>https://pbs.twimg.com/profile_images/1337534092477263872/xNmq0zor_normal.jpg</v>
      </c>
      <c r="H110" s="60"/>
      <c r="I110" s="64" t="str">
        <f>Vertices[[#This Row],[Vertex]]</f>
        <v>there91194264</v>
      </c>
      <c r="J110" s="65"/>
      <c r="K110" s="65"/>
      <c r="L110" s="64"/>
      <c r="M110" s="68"/>
      <c r="N110" s="69">
        <v>547.24560546875</v>
      </c>
      <c r="O110" s="69">
        <v>7221.96533203125</v>
      </c>
      <c r="P110" s="70"/>
      <c r="Q110" s="71"/>
      <c r="R110" s="71"/>
      <c r="S110" s="78"/>
      <c r="T110" s="44">
        <v>1</v>
      </c>
      <c r="U110" s="44">
        <v>0</v>
      </c>
      <c r="V110" s="45">
        <v>0</v>
      </c>
      <c r="W110" s="45">
        <v>0.108923</v>
      </c>
      <c r="X110" s="45">
        <v>0.149931</v>
      </c>
      <c r="Y110" s="45">
        <v>0.00337</v>
      </c>
      <c r="Z110" s="45">
        <v>0</v>
      </c>
      <c r="AA110" s="45">
        <v>0</v>
      </c>
      <c r="AB110" s="66">
        <v>110</v>
      </c>
      <c r="AC1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0" s="67"/>
      <c r="AE110" t="s">
        <v>1710</v>
      </c>
      <c r="AF110" s="74" t="s">
        <v>1877</v>
      </c>
      <c r="AG110">
        <v>725</v>
      </c>
      <c r="AH110">
        <v>484</v>
      </c>
      <c r="AI110">
        <v>78512</v>
      </c>
      <c r="AJ110">
        <v>0</v>
      </c>
      <c r="AK110">
        <v>78260</v>
      </c>
      <c r="AL110">
        <v>44</v>
      </c>
      <c r="AM110" t="b">
        <v>0</v>
      </c>
      <c r="AN110" s="73">
        <v>44175.51679398148</v>
      </c>
      <c r="AY110" t="b">
        <v>0</v>
      </c>
      <c r="BB110" t="b">
        <v>0</v>
      </c>
      <c r="BC110" t="b">
        <v>0</v>
      </c>
      <c r="BD110" t="b">
        <v>1</v>
      </c>
      <c r="BE110" t="b">
        <v>0</v>
      </c>
      <c r="BF110" t="b">
        <v>0</v>
      </c>
      <c r="BG110" t="b">
        <v>0</v>
      </c>
      <c r="BH110" t="b">
        <v>0</v>
      </c>
      <c r="BK110" t="s">
        <v>2343</v>
      </c>
      <c r="BL110" t="b">
        <v>0</v>
      </c>
      <c r="BN110" t="s">
        <v>65</v>
      </c>
      <c r="BO110" t="s">
        <v>2345</v>
      </c>
      <c r="BP110" s="76" t="str">
        <f>HYPERLINK("https://twitter.com/there91194264")</f>
        <v>https://twitter.com/there91194264</v>
      </c>
      <c r="BQ110" s="44"/>
      <c r="BR110" s="44"/>
      <c r="BS110" s="44"/>
      <c r="BT110" s="44"/>
      <c r="BU110" s="44"/>
      <c r="BV110" s="44"/>
      <c r="BW110" s="44"/>
      <c r="BX110" s="44"/>
      <c r="BY110" s="44"/>
      <c r="BZ110" s="44"/>
      <c r="CA110" s="44"/>
      <c r="CB110" s="45"/>
      <c r="CC110" s="44"/>
      <c r="CD110" s="45"/>
      <c r="CE110" s="44"/>
      <c r="CF110" s="45"/>
      <c r="CG110" s="44"/>
      <c r="CH110" s="45"/>
      <c r="CI110" s="44"/>
      <c r="CJ110" s="112" t="str">
        <f>REPLACE(INDEX(GroupVertices[Group],MATCH("~"&amp;Vertices[[#This Row],[Vertex]],GroupVertices[Vertex],0)),1,1,"")</f>
        <v>1</v>
      </c>
      <c r="CK110" s="44"/>
      <c r="CL110" s="44"/>
      <c r="CM110" s="44"/>
      <c r="CN110" s="44"/>
      <c r="CO110" s="2"/>
    </row>
    <row r="111" spans="1:93" ht="41.45" customHeight="1">
      <c r="A111" s="59" t="s">
        <v>459</v>
      </c>
      <c r="C111" s="60"/>
      <c r="D111" s="60" t="s">
        <v>64</v>
      </c>
      <c r="E111" s="61">
        <v>1.5</v>
      </c>
      <c r="F111" s="63"/>
      <c r="G111" s="92" t="str">
        <f>HYPERLINK("https://pbs.twimg.com/profile_images/1658607726409453569/4gV4zYvy_normal.jpg")</f>
        <v>https://pbs.twimg.com/profile_images/1658607726409453569/4gV4zYvy_normal.jpg</v>
      </c>
      <c r="H111" s="60"/>
      <c r="I111" s="64" t="str">
        <f>Vertices[[#This Row],[Vertex]]</f>
        <v>namatanpaspasi</v>
      </c>
      <c r="J111" s="65"/>
      <c r="K111" s="65"/>
      <c r="L111" s="64"/>
      <c r="M111" s="68"/>
      <c r="N111" s="69">
        <v>1407.7818603515625</v>
      </c>
      <c r="O111" s="69">
        <v>4595.4609375</v>
      </c>
      <c r="P111" s="70"/>
      <c r="Q111" s="71"/>
      <c r="R111" s="71"/>
      <c r="S111" s="78"/>
      <c r="T111" s="44">
        <v>1</v>
      </c>
      <c r="U111" s="44">
        <v>0</v>
      </c>
      <c r="V111" s="45">
        <v>0</v>
      </c>
      <c r="W111" s="45">
        <v>0.108923</v>
      </c>
      <c r="X111" s="45">
        <v>0.149931</v>
      </c>
      <c r="Y111" s="45">
        <v>0.00337</v>
      </c>
      <c r="Z111" s="45">
        <v>0</v>
      </c>
      <c r="AA111" s="45">
        <v>0</v>
      </c>
      <c r="AB111" s="66">
        <v>111</v>
      </c>
      <c r="AC1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1" s="67"/>
      <c r="AE111" t="s">
        <v>1725</v>
      </c>
      <c r="AF111" s="74" t="s">
        <v>1892</v>
      </c>
      <c r="AG111">
        <v>627</v>
      </c>
      <c r="AH111">
        <v>317</v>
      </c>
      <c r="AI111">
        <v>28215</v>
      </c>
      <c r="AJ111">
        <v>1</v>
      </c>
      <c r="AK111">
        <v>130</v>
      </c>
      <c r="AL111">
        <v>200</v>
      </c>
      <c r="AM111" t="b">
        <v>0</v>
      </c>
      <c r="AN111" s="73">
        <v>40154.7065625</v>
      </c>
      <c r="AO111" t="s">
        <v>996</v>
      </c>
      <c r="AP111" t="s">
        <v>2190</v>
      </c>
      <c r="AY111" t="b">
        <v>0</v>
      </c>
      <c r="BB111" t="b">
        <v>1</v>
      </c>
      <c r="BC111" t="b">
        <v>0</v>
      </c>
      <c r="BD111" t="b">
        <v>0</v>
      </c>
      <c r="BE111" t="b">
        <v>0</v>
      </c>
      <c r="BF111" t="b">
        <v>0</v>
      </c>
      <c r="BG111" t="b">
        <v>0</v>
      </c>
      <c r="BH111" t="b">
        <v>0</v>
      </c>
      <c r="BI111" s="76" t="str">
        <f>HYPERLINK("https://pbs.twimg.com/profile_banners/95236648/1489194698")</f>
        <v>https://pbs.twimg.com/profile_banners/95236648/1489194698</v>
      </c>
      <c r="BK111" t="s">
        <v>2343</v>
      </c>
      <c r="BL111" t="b">
        <v>0</v>
      </c>
      <c r="BN111" t="s">
        <v>65</v>
      </c>
      <c r="BO111" t="s">
        <v>2345</v>
      </c>
      <c r="BP111" s="76" t="str">
        <f>HYPERLINK("https://twitter.com/namatanpaspasi")</f>
        <v>https://twitter.com/namatanpaspasi</v>
      </c>
      <c r="BQ111" s="44"/>
      <c r="BR111" s="44"/>
      <c r="BS111" s="44"/>
      <c r="BT111" s="44"/>
      <c r="BU111" s="44"/>
      <c r="BV111" s="44"/>
      <c r="BW111" s="44"/>
      <c r="BX111" s="44"/>
      <c r="BY111" s="44"/>
      <c r="BZ111" s="44"/>
      <c r="CA111" s="44"/>
      <c r="CB111" s="45"/>
      <c r="CC111" s="44"/>
      <c r="CD111" s="45"/>
      <c r="CE111" s="44"/>
      <c r="CF111" s="45"/>
      <c r="CG111" s="44"/>
      <c r="CH111" s="45"/>
      <c r="CI111" s="44"/>
      <c r="CJ111" s="112" t="str">
        <f>REPLACE(INDEX(GroupVertices[Group],MATCH("~"&amp;Vertices[[#This Row],[Vertex]],GroupVertices[Vertex],0)),1,1,"")</f>
        <v>1</v>
      </c>
      <c r="CK111" s="44"/>
      <c r="CL111" s="44"/>
      <c r="CM111" s="44"/>
      <c r="CN111" s="44"/>
      <c r="CO111" s="2"/>
    </row>
    <row r="112" spans="1:93" ht="41.45" customHeight="1">
      <c r="A112" s="59" t="s">
        <v>451</v>
      </c>
      <c r="C112" s="60"/>
      <c r="D112" s="60" t="s">
        <v>64</v>
      </c>
      <c r="E112" s="61">
        <v>1.5</v>
      </c>
      <c r="F112" s="63"/>
      <c r="G112" s="92" t="str">
        <f>HYPERLINK("https://pbs.twimg.com/profile_images/1725816674597638144/4X8dFrku_normal.jpg")</f>
        <v>https://pbs.twimg.com/profile_images/1725816674597638144/4X8dFrku_normal.jpg</v>
      </c>
      <c r="H112" s="60"/>
      <c r="I112" s="64" t="str">
        <f>Vertices[[#This Row],[Vertex]]</f>
        <v>dewimajid4</v>
      </c>
      <c r="J112" s="65"/>
      <c r="K112" s="65"/>
      <c r="L112" s="64"/>
      <c r="M112" s="68"/>
      <c r="N112" s="69">
        <v>160.58348083496094</v>
      </c>
      <c r="O112" s="69">
        <v>4233.24658203125</v>
      </c>
      <c r="P112" s="70"/>
      <c r="Q112" s="71"/>
      <c r="R112" s="71"/>
      <c r="S112" s="78"/>
      <c r="T112" s="44">
        <v>1</v>
      </c>
      <c r="U112" s="44">
        <v>0</v>
      </c>
      <c r="V112" s="45">
        <v>0</v>
      </c>
      <c r="W112" s="45">
        <v>0.108923</v>
      </c>
      <c r="X112" s="45">
        <v>0.149931</v>
      </c>
      <c r="Y112" s="45">
        <v>0.00337</v>
      </c>
      <c r="Z112" s="45">
        <v>0</v>
      </c>
      <c r="AA112" s="45">
        <v>0</v>
      </c>
      <c r="AB112" s="66">
        <v>112</v>
      </c>
      <c r="AC1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2" s="67"/>
      <c r="AE112" t="s">
        <v>1717</v>
      </c>
      <c r="AF112" s="74" t="s">
        <v>1884</v>
      </c>
      <c r="AG112">
        <v>583</v>
      </c>
      <c r="AH112">
        <v>458</v>
      </c>
      <c r="AI112">
        <v>5421</v>
      </c>
      <c r="AJ112">
        <v>0</v>
      </c>
      <c r="AK112">
        <v>7930</v>
      </c>
      <c r="AL112">
        <v>2522</v>
      </c>
      <c r="AM112" t="b">
        <v>0</v>
      </c>
      <c r="AN112" s="73">
        <v>44736.15597222222</v>
      </c>
      <c r="AY112" t="b">
        <v>0</v>
      </c>
      <c r="BB112" t="b">
        <v>0</v>
      </c>
      <c r="BC112" t="b">
        <v>1</v>
      </c>
      <c r="BD112" t="b">
        <v>1</v>
      </c>
      <c r="BE112" t="b">
        <v>0</v>
      </c>
      <c r="BF112" t="b">
        <v>1</v>
      </c>
      <c r="BG112" t="b">
        <v>0</v>
      </c>
      <c r="BH112" t="b">
        <v>0</v>
      </c>
      <c r="BK112" t="s">
        <v>2343</v>
      </c>
      <c r="BL112" t="b">
        <v>0</v>
      </c>
      <c r="BN112" t="s">
        <v>65</v>
      </c>
      <c r="BO112" t="s">
        <v>2345</v>
      </c>
      <c r="BP112" s="76" t="str">
        <f>HYPERLINK("https://twitter.com/dewimajid4")</f>
        <v>https://twitter.com/dewimajid4</v>
      </c>
      <c r="BQ112" s="44"/>
      <c r="BR112" s="44"/>
      <c r="BS112" s="44"/>
      <c r="BT112" s="44"/>
      <c r="BU112" s="44"/>
      <c r="BV112" s="44"/>
      <c r="BW112" s="44"/>
      <c r="BX112" s="44"/>
      <c r="BY112" s="44"/>
      <c r="BZ112" s="44"/>
      <c r="CA112" s="44"/>
      <c r="CB112" s="45"/>
      <c r="CC112" s="44"/>
      <c r="CD112" s="45"/>
      <c r="CE112" s="44"/>
      <c r="CF112" s="45"/>
      <c r="CG112" s="44"/>
      <c r="CH112" s="45"/>
      <c r="CI112" s="44"/>
      <c r="CJ112" s="112" t="str">
        <f>REPLACE(INDEX(GroupVertices[Group],MATCH("~"&amp;Vertices[[#This Row],[Vertex]],GroupVertices[Vertex],0)),1,1,"")</f>
        <v>1</v>
      </c>
      <c r="CK112" s="44"/>
      <c r="CL112" s="44"/>
      <c r="CM112" s="44"/>
      <c r="CN112" s="44"/>
      <c r="CO112" s="2"/>
    </row>
    <row r="113" spans="1:93" ht="41.45" customHeight="1">
      <c r="A113" s="59" t="s">
        <v>427</v>
      </c>
      <c r="C113" s="60"/>
      <c r="D113" s="60" t="s">
        <v>64</v>
      </c>
      <c r="E113" s="61">
        <v>1.5</v>
      </c>
      <c r="F113" s="63"/>
      <c r="G113" s="92" t="str">
        <f>HYPERLINK("https://pbs.twimg.com/profile_images/1352876666993827840/idPQH25Z_normal.jpg")</f>
        <v>https://pbs.twimg.com/profile_images/1352876666993827840/idPQH25Z_normal.jpg</v>
      </c>
      <c r="H113" s="60"/>
      <c r="I113" s="64" t="str">
        <f>Vertices[[#This Row],[Vertex]]</f>
        <v>hdsambodo</v>
      </c>
      <c r="J113" s="65"/>
      <c r="K113" s="65"/>
      <c r="L113" s="64"/>
      <c r="M113" s="68"/>
      <c r="N113" s="69">
        <v>1084.317138671875</v>
      </c>
      <c r="O113" s="69">
        <v>8686.26953125</v>
      </c>
      <c r="P113" s="70"/>
      <c r="Q113" s="71"/>
      <c r="R113" s="71"/>
      <c r="S113" s="78"/>
      <c r="T113" s="44">
        <v>1</v>
      </c>
      <c r="U113" s="44">
        <v>0</v>
      </c>
      <c r="V113" s="45">
        <v>0</v>
      </c>
      <c r="W113" s="45">
        <v>0.108923</v>
      </c>
      <c r="X113" s="45">
        <v>0.149931</v>
      </c>
      <c r="Y113" s="45">
        <v>0.00337</v>
      </c>
      <c r="Z113" s="45">
        <v>0</v>
      </c>
      <c r="AA113" s="45">
        <v>0</v>
      </c>
      <c r="AB113" s="66">
        <v>113</v>
      </c>
      <c r="AC1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3" s="67"/>
      <c r="AE113" t="s">
        <v>1693</v>
      </c>
      <c r="AF113" s="74" t="s">
        <v>1860</v>
      </c>
      <c r="AG113">
        <v>539</v>
      </c>
      <c r="AH113">
        <v>540</v>
      </c>
      <c r="AI113">
        <v>206447</v>
      </c>
      <c r="AJ113">
        <v>0</v>
      </c>
      <c r="AK113">
        <v>169451</v>
      </c>
      <c r="AL113">
        <v>313</v>
      </c>
      <c r="AM113" t="b">
        <v>0</v>
      </c>
      <c r="AN113" s="73">
        <v>41678.02988425926</v>
      </c>
      <c r="AY113" t="b">
        <v>0</v>
      </c>
      <c r="BB113" t="b">
        <v>1</v>
      </c>
      <c r="BC113" t="b">
        <v>1</v>
      </c>
      <c r="BD113" t="b">
        <v>1</v>
      </c>
      <c r="BE113" t="b">
        <v>0</v>
      </c>
      <c r="BF113" t="b">
        <v>1</v>
      </c>
      <c r="BG113" t="b">
        <v>0</v>
      </c>
      <c r="BH113" t="b">
        <v>0</v>
      </c>
      <c r="BK113" t="s">
        <v>2343</v>
      </c>
      <c r="BL113" t="b">
        <v>0</v>
      </c>
      <c r="BN113" t="s">
        <v>65</v>
      </c>
      <c r="BO113" t="s">
        <v>2345</v>
      </c>
      <c r="BP113" s="76" t="str">
        <f>HYPERLINK("https://twitter.com/hdsambodo")</f>
        <v>https://twitter.com/hdsambodo</v>
      </c>
      <c r="BQ113" s="44"/>
      <c r="BR113" s="44"/>
      <c r="BS113" s="44"/>
      <c r="BT113" s="44"/>
      <c r="BU113" s="44"/>
      <c r="BV113" s="44"/>
      <c r="BW113" s="44"/>
      <c r="BX113" s="44"/>
      <c r="BY113" s="44"/>
      <c r="BZ113" s="44"/>
      <c r="CA113" s="44"/>
      <c r="CB113" s="45"/>
      <c r="CC113" s="44"/>
      <c r="CD113" s="45"/>
      <c r="CE113" s="44"/>
      <c r="CF113" s="45"/>
      <c r="CG113" s="44"/>
      <c r="CH113" s="45"/>
      <c r="CI113" s="44"/>
      <c r="CJ113" s="112" t="str">
        <f>REPLACE(INDEX(GroupVertices[Group],MATCH("~"&amp;Vertices[[#This Row],[Vertex]],GroupVertices[Vertex],0)),1,1,"")</f>
        <v>1</v>
      </c>
      <c r="CK113" s="44"/>
      <c r="CL113" s="44"/>
      <c r="CM113" s="44"/>
      <c r="CN113" s="44"/>
      <c r="CO113" s="2"/>
    </row>
    <row r="114" spans="1:93" ht="41.45" customHeight="1">
      <c r="A114" s="59" t="s">
        <v>438</v>
      </c>
      <c r="C114" s="60"/>
      <c r="D114" s="60" t="s">
        <v>64</v>
      </c>
      <c r="E114" s="61">
        <v>1.5</v>
      </c>
      <c r="F114" s="63"/>
      <c r="G114" s="92" t="str">
        <f>HYPERLINK("https://pbs.twimg.com/profile_images/1449297136386863104/2e9DwObO_normal.jpg")</f>
        <v>https://pbs.twimg.com/profile_images/1449297136386863104/2e9DwObO_normal.jpg</v>
      </c>
      <c r="H114" s="60"/>
      <c r="I114" s="64" t="str">
        <f>Vertices[[#This Row],[Vertex]]</f>
        <v>pajakagus</v>
      </c>
      <c r="J114" s="65"/>
      <c r="K114" s="65"/>
      <c r="L114" s="64"/>
      <c r="M114" s="68"/>
      <c r="N114" s="69">
        <v>716.4376220703125</v>
      </c>
      <c r="O114" s="69">
        <v>1782.2978515625</v>
      </c>
      <c r="P114" s="70"/>
      <c r="Q114" s="71"/>
      <c r="R114" s="71"/>
      <c r="S114" s="78"/>
      <c r="T114" s="44">
        <v>1</v>
      </c>
      <c r="U114" s="44">
        <v>0</v>
      </c>
      <c r="V114" s="45">
        <v>0</v>
      </c>
      <c r="W114" s="45">
        <v>0.108923</v>
      </c>
      <c r="X114" s="45">
        <v>0.149931</v>
      </c>
      <c r="Y114" s="45">
        <v>0.00337</v>
      </c>
      <c r="Z114" s="45">
        <v>0</v>
      </c>
      <c r="AA114" s="45">
        <v>0</v>
      </c>
      <c r="AB114" s="66">
        <v>114</v>
      </c>
      <c r="AC1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4" s="67"/>
      <c r="AE114" t="s">
        <v>1704</v>
      </c>
      <c r="AF114" s="74" t="s">
        <v>1871</v>
      </c>
      <c r="AG114">
        <v>512</v>
      </c>
      <c r="AH114">
        <v>852</v>
      </c>
      <c r="AI114">
        <v>16990</v>
      </c>
      <c r="AJ114">
        <v>0</v>
      </c>
      <c r="AK114">
        <v>36117</v>
      </c>
      <c r="AL114">
        <v>6</v>
      </c>
      <c r="AM114" t="b">
        <v>0</v>
      </c>
      <c r="AN114" s="73">
        <v>44191.16270833334</v>
      </c>
      <c r="AP114" t="s">
        <v>2172</v>
      </c>
      <c r="AY114" t="b">
        <v>0</v>
      </c>
      <c r="BB114" t="b">
        <v>0</v>
      </c>
      <c r="BC114" t="b">
        <v>1</v>
      </c>
      <c r="BD114" t="b">
        <v>1</v>
      </c>
      <c r="BE114" t="b">
        <v>0</v>
      </c>
      <c r="BF114" t="b">
        <v>0</v>
      </c>
      <c r="BG114" t="b">
        <v>0</v>
      </c>
      <c r="BH114" t="b">
        <v>0</v>
      </c>
      <c r="BI114" s="76" t="str">
        <f>HYPERLINK("https://pbs.twimg.com/profile_banners/1342680011296317440/1635243908")</f>
        <v>https://pbs.twimg.com/profile_banners/1342680011296317440/1635243908</v>
      </c>
      <c r="BK114" t="s">
        <v>2343</v>
      </c>
      <c r="BL114" t="b">
        <v>0</v>
      </c>
      <c r="BN114" t="s">
        <v>65</v>
      </c>
      <c r="BO114" t="s">
        <v>2345</v>
      </c>
      <c r="BP114" s="76" t="str">
        <f>HYPERLINK("https://twitter.com/pajakagus")</f>
        <v>https://twitter.com/pajakagus</v>
      </c>
      <c r="BQ114" s="44"/>
      <c r="BR114" s="44"/>
      <c r="BS114" s="44"/>
      <c r="BT114" s="44"/>
      <c r="BU114" s="44"/>
      <c r="BV114" s="44"/>
      <c r="BW114" s="44"/>
      <c r="BX114" s="44"/>
      <c r="BY114" s="44"/>
      <c r="BZ114" s="44"/>
      <c r="CA114" s="44"/>
      <c r="CB114" s="45"/>
      <c r="CC114" s="44"/>
      <c r="CD114" s="45"/>
      <c r="CE114" s="44"/>
      <c r="CF114" s="45"/>
      <c r="CG114" s="44"/>
      <c r="CH114" s="45"/>
      <c r="CI114" s="44"/>
      <c r="CJ114" s="112" t="str">
        <f>REPLACE(INDEX(GroupVertices[Group],MATCH("~"&amp;Vertices[[#This Row],[Vertex]],GroupVertices[Vertex],0)),1,1,"")</f>
        <v>1</v>
      </c>
      <c r="CK114" s="44"/>
      <c r="CL114" s="44"/>
      <c r="CM114" s="44"/>
      <c r="CN114" s="44"/>
      <c r="CO114" s="2"/>
    </row>
    <row r="115" spans="1:93" ht="41.45" customHeight="1">
      <c r="A115" s="59" t="s">
        <v>449</v>
      </c>
      <c r="C115" s="60"/>
      <c r="D115" s="60" t="s">
        <v>64</v>
      </c>
      <c r="E115" s="61">
        <v>1.5</v>
      </c>
      <c r="F115" s="63"/>
      <c r="G115" s="92" t="str">
        <f>HYPERLINK("https://pbs.twimg.com/profile_images/1543015840554971137/xaMwgKPb_normal.jpg")</f>
        <v>https://pbs.twimg.com/profile_images/1543015840554971137/xaMwgKPb_normal.jpg</v>
      </c>
      <c r="H115" s="60"/>
      <c r="I115" s="64" t="str">
        <f>Vertices[[#This Row],[Vertex]]</f>
        <v>zay34562</v>
      </c>
      <c r="J115" s="65"/>
      <c r="K115" s="65"/>
      <c r="L115" s="64"/>
      <c r="M115" s="68"/>
      <c r="N115" s="69">
        <v>1125.465087890625</v>
      </c>
      <c r="O115" s="69">
        <v>1798.2388916015625</v>
      </c>
      <c r="P115" s="70"/>
      <c r="Q115" s="71"/>
      <c r="R115" s="71"/>
      <c r="S115" s="78"/>
      <c r="T115" s="44">
        <v>1</v>
      </c>
      <c r="U115" s="44">
        <v>0</v>
      </c>
      <c r="V115" s="45">
        <v>0</v>
      </c>
      <c r="W115" s="45">
        <v>0.108923</v>
      </c>
      <c r="X115" s="45">
        <v>0.149931</v>
      </c>
      <c r="Y115" s="45">
        <v>0.00337</v>
      </c>
      <c r="Z115" s="45">
        <v>0</v>
      </c>
      <c r="AA115" s="45">
        <v>0</v>
      </c>
      <c r="AB115" s="66">
        <v>115</v>
      </c>
      <c r="AC1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5" s="67"/>
      <c r="AE115" t="s">
        <v>1715</v>
      </c>
      <c r="AF115" s="74" t="s">
        <v>1882</v>
      </c>
      <c r="AG115">
        <v>224</v>
      </c>
      <c r="AH115">
        <v>138</v>
      </c>
      <c r="AI115">
        <v>12580</v>
      </c>
      <c r="AJ115">
        <v>0</v>
      </c>
      <c r="AK115">
        <v>12730</v>
      </c>
      <c r="AL115">
        <v>82</v>
      </c>
      <c r="AM115" t="b">
        <v>0</v>
      </c>
      <c r="AN115" s="73">
        <v>44738.5877662037</v>
      </c>
      <c r="AY115" t="b">
        <v>0</v>
      </c>
      <c r="BB115" t="b">
        <v>0</v>
      </c>
      <c r="BC115" t="b">
        <v>1</v>
      </c>
      <c r="BD115" t="b">
        <v>1</v>
      </c>
      <c r="BE115" t="b">
        <v>0</v>
      </c>
      <c r="BF115" t="b">
        <v>0</v>
      </c>
      <c r="BG115" t="b">
        <v>0</v>
      </c>
      <c r="BH115" t="b">
        <v>0</v>
      </c>
      <c r="BK115" t="s">
        <v>2343</v>
      </c>
      <c r="BL115" t="b">
        <v>0</v>
      </c>
      <c r="BN115" t="s">
        <v>65</v>
      </c>
      <c r="BO115" t="s">
        <v>2345</v>
      </c>
      <c r="BP115" s="76" t="str">
        <f>HYPERLINK("https://twitter.com/zay34562")</f>
        <v>https://twitter.com/zay34562</v>
      </c>
      <c r="BQ115" s="44"/>
      <c r="BR115" s="44"/>
      <c r="BS115" s="44"/>
      <c r="BT115" s="44"/>
      <c r="BU115" s="44"/>
      <c r="BV115" s="44"/>
      <c r="BW115" s="44"/>
      <c r="BX115" s="44"/>
      <c r="BY115" s="44"/>
      <c r="BZ115" s="44"/>
      <c r="CA115" s="44"/>
      <c r="CB115" s="45"/>
      <c r="CC115" s="44"/>
      <c r="CD115" s="45"/>
      <c r="CE115" s="44"/>
      <c r="CF115" s="45"/>
      <c r="CG115" s="44"/>
      <c r="CH115" s="45"/>
      <c r="CI115" s="44"/>
      <c r="CJ115" s="112" t="str">
        <f>REPLACE(INDEX(GroupVertices[Group],MATCH("~"&amp;Vertices[[#This Row],[Vertex]],GroupVertices[Vertex],0)),1,1,"")</f>
        <v>1</v>
      </c>
      <c r="CK115" s="44"/>
      <c r="CL115" s="44"/>
      <c r="CM115" s="44"/>
      <c r="CN115" s="44"/>
      <c r="CO115" s="2"/>
    </row>
    <row r="116" spans="1:93" ht="41.45" customHeight="1">
      <c r="A116" s="59" t="s">
        <v>353</v>
      </c>
      <c r="C116" s="60"/>
      <c r="D116" s="60" t="s">
        <v>64</v>
      </c>
      <c r="E116" s="61">
        <v>1.5</v>
      </c>
      <c r="F116" s="63"/>
      <c r="G116" s="92" t="str">
        <f>HYPERLINK("https://pbs.twimg.com/profile_images/1473466432075620356/zEPnwfRc_normal.jpg")</f>
        <v>https://pbs.twimg.com/profile_images/1473466432075620356/zEPnwfRc_normal.jpg</v>
      </c>
      <c r="H116" s="60"/>
      <c r="I116" s="64" t="str">
        <f>Vertices[[#This Row],[Vertex]]</f>
        <v>sailabi1</v>
      </c>
      <c r="J116" s="65"/>
      <c r="K116" s="65"/>
      <c r="L116" s="64"/>
      <c r="M116" s="68"/>
      <c r="N116" s="69">
        <v>3128.5166015625</v>
      </c>
      <c r="O116" s="69">
        <v>6037.20458984375</v>
      </c>
      <c r="P116" s="70"/>
      <c r="Q116" s="71"/>
      <c r="R116" s="71"/>
      <c r="S116" s="78"/>
      <c r="T116" s="44">
        <v>1</v>
      </c>
      <c r="U116" s="44">
        <v>0</v>
      </c>
      <c r="V116" s="45">
        <v>0</v>
      </c>
      <c r="W116" s="45">
        <v>0.100479</v>
      </c>
      <c r="X116" s="45">
        <v>0.000253</v>
      </c>
      <c r="Y116" s="45">
        <v>0.003488</v>
      </c>
      <c r="Z116" s="45">
        <v>0</v>
      </c>
      <c r="AA116" s="45">
        <v>0</v>
      </c>
      <c r="AB116" s="66">
        <v>116</v>
      </c>
      <c r="AC1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6" s="67"/>
      <c r="AE116" t="s">
        <v>1563</v>
      </c>
      <c r="AF116" s="74" t="s">
        <v>1807</v>
      </c>
      <c r="AG116">
        <v>211</v>
      </c>
      <c r="AH116">
        <v>641</v>
      </c>
      <c r="AI116">
        <v>12184</v>
      </c>
      <c r="AJ116">
        <v>0</v>
      </c>
      <c r="AK116">
        <v>41329</v>
      </c>
      <c r="AL116">
        <v>205</v>
      </c>
      <c r="AM116" t="b">
        <v>0</v>
      </c>
      <c r="AN116" s="73">
        <v>43910.94847222222</v>
      </c>
      <c r="AO116" t="s">
        <v>1942</v>
      </c>
      <c r="AP116" t="s">
        <v>2047</v>
      </c>
      <c r="AY116" t="b">
        <v>0</v>
      </c>
      <c r="BB116" t="b">
        <v>1</v>
      </c>
      <c r="BC116" t="b">
        <v>1</v>
      </c>
      <c r="BD116" t="b">
        <v>1</v>
      </c>
      <c r="BE116" t="b">
        <v>0</v>
      </c>
      <c r="BF116" t="b">
        <v>1</v>
      </c>
      <c r="BG116" t="b">
        <v>0</v>
      </c>
      <c r="BH116" t="b">
        <v>0</v>
      </c>
      <c r="BK116" t="s">
        <v>2343</v>
      </c>
      <c r="BL116" t="b">
        <v>0</v>
      </c>
      <c r="BN116" t="s">
        <v>65</v>
      </c>
      <c r="BO116" t="s">
        <v>2345</v>
      </c>
      <c r="BP116" s="76" t="str">
        <f>HYPERLINK("https://twitter.com/sailabi1")</f>
        <v>https://twitter.com/sailabi1</v>
      </c>
      <c r="BQ116" s="44"/>
      <c r="BR116" s="44"/>
      <c r="BS116" s="44"/>
      <c r="BT116" s="44"/>
      <c r="BU116" s="44"/>
      <c r="BV116" s="44"/>
      <c r="BW116" s="44"/>
      <c r="BX116" s="44"/>
      <c r="BY116" s="44"/>
      <c r="BZ116" s="44"/>
      <c r="CA116" s="44"/>
      <c r="CB116" s="45"/>
      <c r="CC116" s="44"/>
      <c r="CD116" s="45"/>
      <c r="CE116" s="44"/>
      <c r="CF116" s="45"/>
      <c r="CG116" s="44"/>
      <c r="CH116" s="45"/>
      <c r="CI116" s="44"/>
      <c r="CJ116" s="112" t="str">
        <f>REPLACE(INDEX(GroupVertices[Group],MATCH("~"&amp;Vertices[[#This Row],[Vertex]],GroupVertices[Vertex],0)),1,1,"")</f>
        <v>4</v>
      </c>
      <c r="CK116" s="44"/>
      <c r="CL116" s="44"/>
      <c r="CM116" s="44"/>
      <c r="CN116" s="44"/>
      <c r="CO116" s="2"/>
    </row>
    <row r="117" spans="1:93" ht="41.45" customHeight="1">
      <c r="A117" s="59" t="s">
        <v>392</v>
      </c>
      <c r="C117" s="60"/>
      <c r="D117" s="60" t="s">
        <v>64</v>
      </c>
      <c r="E117" s="61">
        <v>1.5</v>
      </c>
      <c r="F117" s="63"/>
      <c r="G117" s="92" t="str">
        <f>HYPERLINK("https://pbs.twimg.com/profile_images/1721568726422802432/gJNiTrqQ_normal.jpg")</f>
        <v>https://pbs.twimg.com/profile_images/1721568726422802432/gJNiTrqQ_normal.jpg</v>
      </c>
      <c r="H117" s="60"/>
      <c r="I117" s="64" t="str">
        <f>Vertices[[#This Row],[Vertex]]</f>
        <v>prabowo</v>
      </c>
      <c r="J117" s="65"/>
      <c r="K117" s="65"/>
      <c r="L117" s="64"/>
      <c r="M117" s="68"/>
      <c r="N117" s="69">
        <v>2970.794677734375</v>
      </c>
      <c r="O117" s="69">
        <v>5723.58447265625</v>
      </c>
      <c r="P117" s="70"/>
      <c r="Q117" s="71"/>
      <c r="R117" s="71"/>
      <c r="S117" s="78"/>
      <c r="T117" s="44">
        <v>1</v>
      </c>
      <c r="U117" s="44">
        <v>0</v>
      </c>
      <c r="V117" s="45">
        <v>0</v>
      </c>
      <c r="W117" s="45">
        <v>0.100036</v>
      </c>
      <c r="X117" s="45">
        <v>0.000515</v>
      </c>
      <c r="Y117" s="45">
        <v>0.003411</v>
      </c>
      <c r="Z117" s="45">
        <v>0</v>
      </c>
      <c r="AA117" s="45">
        <v>0</v>
      </c>
      <c r="AB117" s="66">
        <v>117</v>
      </c>
      <c r="AC1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7" s="67"/>
      <c r="AE117" t="s">
        <v>1645</v>
      </c>
      <c r="AF117" s="74" t="s">
        <v>1837</v>
      </c>
      <c r="AG117">
        <v>4700754</v>
      </c>
      <c r="AH117">
        <v>1939</v>
      </c>
      <c r="AI117">
        <v>9314</v>
      </c>
      <c r="AJ117">
        <v>1770</v>
      </c>
      <c r="AK117">
        <v>21</v>
      </c>
      <c r="AL117">
        <v>542</v>
      </c>
      <c r="AM117" t="b">
        <v>0</v>
      </c>
      <c r="AN117" s="73">
        <v>39950.05384259259</v>
      </c>
      <c r="AO117" t="s">
        <v>996</v>
      </c>
      <c r="AP117" t="s">
        <v>2118</v>
      </c>
      <c r="AQ117" s="76" t="str">
        <f>HYPERLINK("https://t.co/um5vJ2OdP1")</f>
        <v>https://t.co/um5vJ2OdP1</v>
      </c>
      <c r="AR117" s="76" t="str">
        <f>HYPERLINK("http://www.FB.com/PrabowoSubianto")</f>
        <v>http://www.FB.com/PrabowoSubianto</v>
      </c>
      <c r="AS117" t="s">
        <v>2291</v>
      </c>
      <c r="AX117" s="76" t="str">
        <f>HYPERLINK("https://t.co/um5vJ2OdP1")</f>
        <v>https://t.co/um5vJ2OdP1</v>
      </c>
      <c r="AY117" t="b">
        <v>1</v>
      </c>
      <c r="BA117" t="b">
        <v>1</v>
      </c>
      <c r="BB117" t="b">
        <v>0</v>
      </c>
      <c r="BC117" t="b">
        <v>1</v>
      </c>
      <c r="BD117" t="b">
        <v>0</v>
      </c>
      <c r="BE117" t="b">
        <v>0</v>
      </c>
      <c r="BF117" t="b">
        <v>0</v>
      </c>
      <c r="BG117" t="b">
        <v>0</v>
      </c>
      <c r="BH117" t="b">
        <v>0</v>
      </c>
      <c r="BI117" s="76" t="str">
        <f>HYPERLINK("https://pbs.twimg.com/profile_banners/40580714/1572408047")</f>
        <v>https://pbs.twimg.com/profile_banners/40580714/1572408047</v>
      </c>
      <c r="BK117" t="s">
        <v>2343</v>
      </c>
      <c r="BL117" t="b">
        <v>1</v>
      </c>
      <c r="BN117" t="s">
        <v>65</v>
      </c>
      <c r="BO117" t="s">
        <v>2345</v>
      </c>
      <c r="BP117" s="76" t="str">
        <f>HYPERLINK("https://twitter.com/prabowo")</f>
        <v>https://twitter.com/prabowo</v>
      </c>
      <c r="BQ117" s="44"/>
      <c r="BR117" s="44"/>
      <c r="BS117" s="44"/>
      <c r="BT117" s="44"/>
      <c r="BU117" s="44"/>
      <c r="BV117" s="44"/>
      <c r="BW117" s="44"/>
      <c r="BX117" s="44"/>
      <c r="BY117" s="44"/>
      <c r="BZ117" s="44"/>
      <c r="CA117" s="44"/>
      <c r="CB117" s="45"/>
      <c r="CC117" s="44"/>
      <c r="CD117" s="45"/>
      <c r="CE117" s="44"/>
      <c r="CF117" s="45"/>
      <c r="CG117" s="44"/>
      <c r="CH117" s="45"/>
      <c r="CI117" s="44"/>
      <c r="CJ117" s="112" t="str">
        <f>REPLACE(INDEX(GroupVertices[Group],MATCH("~"&amp;Vertices[[#This Row],[Vertex]],GroupVertices[Vertex],0)),1,1,"")</f>
        <v>4</v>
      </c>
      <c r="CK117" s="44"/>
      <c r="CL117" s="44"/>
      <c r="CM117" s="44"/>
      <c r="CN117" s="44"/>
      <c r="CO117" s="2"/>
    </row>
    <row r="118" spans="1:93" ht="41.45" customHeight="1">
      <c r="A118" s="59" t="s">
        <v>391</v>
      </c>
      <c r="C118" s="60"/>
      <c r="D118" s="60" t="s">
        <v>64</v>
      </c>
      <c r="E118" s="61">
        <v>1.5</v>
      </c>
      <c r="F118" s="63"/>
      <c r="G118" s="92" t="str">
        <f>HYPERLINK("https://pbs.twimg.com/profile_images/1220577966624661505/66WhS5DB_normal.jpg")</f>
        <v>https://pbs.twimg.com/profile_images/1220577966624661505/66WhS5DB_normal.jpg</v>
      </c>
      <c r="H118" s="60"/>
      <c r="I118" s="64" t="str">
        <f>Vertices[[#This Row],[Vertex]]</f>
        <v>khofifahip</v>
      </c>
      <c r="J118" s="65"/>
      <c r="K118" s="65"/>
      <c r="L118" s="64"/>
      <c r="M118" s="68"/>
      <c r="N118" s="69">
        <v>3037.738037109375</v>
      </c>
      <c r="O118" s="69">
        <v>6431.4326171875</v>
      </c>
      <c r="P118" s="70"/>
      <c r="Q118" s="71"/>
      <c r="R118" s="71"/>
      <c r="S118" s="78"/>
      <c r="T118" s="44">
        <v>1</v>
      </c>
      <c r="U118" s="44">
        <v>0</v>
      </c>
      <c r="V118" s="45">
        <v>0</v>
      </c>
      <c r="W118" s="45">
        <v>0.100036</v>
      </c>
      <c r="X118" s="45">
        <v>0.000515</v>
      </c>
      <c r="Y118" s="45">
        <v>0.003411</v>
      </c>
      <c r="Z118" s="45">
        <v>0</v>
      </c>
      <c r="AA118" s="45">
        <v>0</v>
      </c>
      <c r="AB118" s="66">
        <v>118</v>
      </c>
      <c r="AC1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8" s="67"/>
      <c r="AE118" t="s">
        <v>1644</v>
      </c>
      <c r="AF118" s="74" t="s">
        <v>1836</v>
      </c>
      <c r="AG118">
        <v>549646</v>
      </c>
      <c r="AH118">
        <v>26</v>
      </c>
      <c r="AI118">
        <v>2946</v>
      </c>
      <c r="AJ118">
        <v>235</v>
      </c>
      <c r="AK118">
        <v>135</v>
      </c>
      <c r="AL118">
        <v>637</v>
      </c>
      <c r="AM118" t="b">
        <v>0</v>
      </c>
      <c r="AN118" s="73">
        <v>40591.24909722222</v>
      </c>
      <c r="AO118" t="s">
        <v>1967</v>
      </c>
      <c r="AP118" t="s">
        <v>2117</v>
      </c>
      <c r="AY118" t="b">
        <v>0</v>
      </c>
      <c r="BB118" t="b">
        <v>0</v>
      </c>
      <c r="BC118" t="b">
        <v>1</v>
      </c>
      <c r="BD118" t="b">
        <v>0</v>
      </c>
      <c r="BE118" t="b">
        <v>0</v>
      </c>
      <c r="BF118" t="b">
        <v>0</v>
      </c>
      <c r="BG118" t="b">
        <v>0</v>
      </c>
      <c r="BH118" t="b">
        <v>0</v>
      </c>
      <c r="BI118" s="76" t="str">
        <f>HYPERLINK("https://pbs.twimg.com/profile_banners/253418739/1567658562")</f>
        <v>https://pbs.twimg.com/profile_banners/253418739/1567658562</v>
      </c>
      <c r="BK118" t="s">
        <v>2343</v>
      </c>
      <c r="BL118" t="b">
        <v>0</v>
      </c>
      <c r="BN118" t="s">
        <v>65</v>
      </c>
      <c r="BO118" t="s">
        <v>2345</v>
      </c>
      <c r="BP118" s="76" t="str">
        <f>HYPERLINK("https://twitter.com/khofifahip")</f>
        <v>https://twitter.com/khofifahip</v>
      </c>
      <c r="BQ118" s="44"/>
      <c r="BR118" s="44"/>
      <c r="BS118" s="44"/>
      <c r="BT118" s="44"/>
      <c r="BU118" s="44"/>
      <c r="BV118" s="44"/>
      <c r="BW118" s="44"/>
      <c r="BX118" s="44"/>
      <c r="BY118" s="44"/>
      <c r="BZ118" s="44"/>
      <c r="CA118" s="44"/>
      <c r="CB118" s="45"/>
      <c r="CC118" s="44"/>
      <c r="CD118" s="45"/>
      <c r="CE118" s="44"/>
      <c r="CF118" s="45"/>
      <c r="CG118" s="44"/>
      <c r="CH118" s="45"/>
      <c r="CI118" s="44"/>
      <c r="CJ118" s="112" t="str">
        <f>REPLACE(INDEX(GroupVertices[Group],MATCH("~"&amp;Vertices[[#This Row],[Vertex]],GroupVertices[Vertex],0)),1,1,"")</f>
        <v>4</v>
      </c>
      <c r="CK118" s="44"/>
      <c r="CL118" s="44"/>
      <c r="CM118" s="44"/>
      <c r="CN118" s="44"/>
      <c r="CO118" s="2"/>
    </row>
    <row r="119" spans="1:93" ht="41.45" customHeight="1">
      <c r="A119" s="59" t="s">
        <v>393</v>
      </c>
      <c r="C119" s="60"/>
      <c r="D119" s="60" t="s">
        <v>64</v>
      </c>
      <c r="E119" s="61">
        <v>1.5</v>
      </c>
      <c r="F119" s="63"/>
      <c r="G119" s="92" t="str">
        <f>HYPERLINK("https://pbs.twimg.com/profile_images/1184896242884595712/qDdlZO8r_normal.jpg")</f>
        <v>https://pbs.twimg.com/profile_images/1184896242884595712/qDdlZO8r_normal.jpg</v>
      </c>
      <c r="H119" s="60"/>
      <c r="I119" s="64" t="str">
        <f>Vertices[[#This Row],[Vertex]]</f>
        <v>rockygerung_rg</v>
      </c>
      <c r="J119" s="65"/>
      <c r="K119" s="65"/>
      <c r="L119" s="64"/>
      <c r="M119" s="68"/>
      <c r="N119" s="69">
        <v>3546.7587890625</v>
      </c>
      <c r="O119" s="69">
        <v>5162.50341796875</v>
      </c>
      <c r="P119" s="70"/>
      <c r="Q119" s="71"/>
      <c r="R119" s="71"/>
      <c r="S119" s="78"/>
      <c r="T119" s="44">
        <v>1</v>
      </c>
      <c r="U119" s="44">
        <v>0</v>
      </c>
      <c r="V119" s="45">
        <v>0</v>
      </c>
      <c r="W119" s="45">
        <v>0.100036</v>
      </c>
      <c r="X119" s="45">
        <v>0.000515</v>
      </c>
      <c r="Y119" s="45">
        <v>0.003411</v>
      </c>
      <c r="Z119" s="45">
        <v>0</v>
      </c>
      <c r="AA119" s="45">
        <v>0</v>
      </c>
      <c r="AB119" s="66">
        <v>119</v>
      </c>
      <c r="AC1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9" s="67"/>
      <c r="AE119" t="s">
        <v>1646</v>
      </c>
      <c r="AF119" s="74" t="s">
        <v>1838</v>
      </c>
      <c r="AG119">
        <v>143236</v>
      </c>
      <c r="AH119">
        <v>36</v>
      </c>
      <c r="AI119">
        <v>1361</v>
      </c>
      <c r="AJ119">
        <v>32</v>
      </c>
      <c r="AK119">
        <v>161</v>
      </c>
      <c r="AL119">
        <v>12</v>
      </c>
      <c r="AM119" t="b">
        <v>0</v>
      </c>
      <c r="AN119" s="73">
        <v>43407.519375</v>
      </c>
      <c r="AP119" t="s">
        <v>2119</v>
      </c>
      <c r="AW119">
        <v>1.71973530428074E+18</v>
      </c>
      <c r="AY119" t="b">
        <v>0</v>
      </c>
      <c r="BB119" t="b">
        <v>0</v>
      </c>
      <c r="BC119" t="b">
        <v>1</v>
      </c>
      <c r="BD119" t="b">
        <v>1</v>
      </c>
      <c r="BE119" t="b">
        <v>0</v>
      </c>
      <c r="BF119" t="b">
        <v>0</v>
      </c>
      <c r="BG119" t="b">
        <v>0</v>
      </c>
      <c r="BH119" t="b">
        <v>0</v>
      </c>
      <c r="BI119" s="76" t="str">
        <f>HYPERLINK("https://pbs.twimg.com/profile_banners/1058697273809326080/1571339641")</f>
        <v>https://pbs.twimg.com/profile_banners/1058697273809326080/1571339641</v>
      </c>
      <c r="BK119" t="s">
        <v>2343</v>
      </c>
      <c r="BL119" t="b">
        <v>0</v>
      </c>
      <c r="BN119" t="s">
        <v>65</v>
      </c>
      <c r="BO119" t="s">
        <v>2345</v>
      </c>
      <c r="BP119" s="76" t="str">
        <f>HYPERLINK("https://twitter.com/rockygerung_rg")</f>
        <v>https://twitter.com/rockygerung_rg</v>
      </c>
      <c r="BQ119" s="44"/>
      <c r="BR119" s="44"/>
      <c r="BS119" s="44"/>
      <c r="BT119" s="44"/>
      <c r="BU119" s="44"/>
      <c r="BV119" s="44"/>
      <c r="BW119" s="44"/>
      <c r="BX119" s="44"/>
      <c r="BY119" s="44"/>
      <c r="BZ119" s="44"/>
      <c r="CA119" s="44"/>
      <c r="CB119" s="45"/>
      <c r="CC119" s="44"/>
      <c r="CD119" s="45"/>
      <c r="CE119" s="44"/>
      <c r="CF119" s="45"/>
      <c r="CG119" s="44"/>
      <c r="CH119" s="45"/>
      <c r="CI119" s="44"/>
      <c r="CJ119" s="112" t="str">
        <f>REPLACE(INDEX(GroupVertices[Group],MATCH("~"&amp;Vertices[[#This Row],[Vertex]],GroupVertices[Vertex],0)),1,1,"")</f>
        <v>4</v>
      </c>
      <c r="CK119" s="44"/>
      <c r="CL119" s="44"/>
      <c r="CM119" s="44"/>
      <c r="CN119" s="44"/>
      <c r="CO119" s="2"/>
    </row>
    <row r="120" spans="1:93" ht="41.45" customHeight="1">
      <c r="A120" s="59" t="s">
        <v>351</v>
      </c>
      <c r="C120" s="60"/>
      <c r="D120" s="60" t="s">
        <v>64</v>
      </c>
      <c r="E120" s="61">
        <v>1.5</v>
      </c>
      <c r="F120" s="63"/>
      <c r="G120" s="92" t="str">
        <f>HYPERLINK("https://pbs.twimg.com/profile_images/1726640082764128256/-lB6UFsk_normal.jpg")</f>
        <v>https://pbs.twimg.com/profile_images/1726640082764128256/-lB6UFsk_normal.jpg</v>
      </c>
      <c r="H120" s="60"/>
      <c r="I120" s="64" t="str">
        <f>Vertices[[#This Row],[Vertex]]</f>
        <v>alisyarief</v>
      </c>
      <c r="J120" s="65"/>
      <c r="K120" s="65"/>
      <c r="L120" s="64"/>
      <c r="M120" s="68"/>
      <c r="N120" s="69">
        <v>5974.52099609375</v>
      </c>
      <c r="O120" s="69">
        <v>9323.3916015625</v>
      </c>
      <c r="P120" s="70"/>
      <c r="Q120" s="71"/>
      <c r="R120" s="71"/>
      <c r="S120" s="78"/>
      <c r="T120" s="44">
        <v>1</v>
      </c>
      <c r="U120" s="44">
        <v>0</v>
      </c>
      <c r="V120" s="45">
        <v>0</v>
      </c>
      <c r="W120" s="45">
        <v>0.100036</v>
      </c>
      <c r="X120" s="45">
        <v>0.00039</v>
      </c>
      <c r="Y120" s="45">
        <v>0.003427</v>
      </c>
      <c r="Z120" s="45">
        <v>0</v>
      </c>
      <c r="AA120" s="45">
        <v>0</v>
      </c>
      <c r="AB120" s="66">
        <v>120</v>
      </c>
      <c r="AC1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0" s="67"/>
      <c r="AE120" t="s">
        <v>1553</v>
      </c>
      <c r="AF120" s="74" t="s">
        <v>1321</v>
      </c>
      <c r="AG120">
        <v>101100</v>
      </c>
      <c r="AH120">
        <v>9377</v>
      </c>
      <c r="AI120">
        <v>47309</v>
      </c>
      <c r="AJ120">
        <v>17</v>
      </c>
      <c r="AK120">
        <v>159452</v>
      </c>
      <c r="AL120">
        <v>2220</v>
      </c>
      <c r="AM120" t="b">
        <v>0</v>
      </c>
      <c r="AN120" s="73">
        <v>39913.485625</v>
      </c>
      <c r="AO120" t="s">
        <v>1946</v>
      </c>
      <c r="AP120" t="s">
        <v>2038</v>
      </c>
      <c r="AQ120" s="76" t="str">
        <f>HYPERLINK("https://t.co/6u0OvhvgjN")</f>
        <v>https://t.co/6u0OvhvgjN</v>
      </c>
      <c r="AR120" s="76" t="str">
        <f>HYPERLINK("https://www.youtube.com/channel/UCI7Lx3kogJo953xTM-Au1gw")</f>
        <v>https://www.youtube.com/channel/UCI7Lx3kogJo953xTM-Au1gw</v>
      </c>
      <c r="AS120" t="s">
        <v>2266</v>
      </c>
      <c r="AW120">
        <v>1.72970755430377E+18</v>
      </c>
      <c r="AX120" s="76" t="str">
        <f>HYPERLINK("https://t.co/6u0OvhvgjN")</f>
        <v>https://t.co/6u0OvhvgjN</v>
      </c>
      <c r="AY120" t="b">
        <v>0</v>
      </c>
      <c r="BB120" t="b">
        <v>0</v>
      </c>
      <c r="BC120" t="b">
        <v>0</v>
      </c>
      <c r="BD120" t="b">
        <v>0</v>
      </c>
      <c r="BE120" t="b">
        <v>0</v>
      </c>
      <c r="BF120" t="b">
        <v>1</v>
      </c>
      <c r="BG120" t="b">
        <v>0</v>
      </c>
      <c r="BH120" t="b">
        <v>0</v>
      </c>
      <c r="BI120" s="76" t="str">
        <f>HYPERLINK("https://pbs.twimg.com/profile_banners/30201110/1631937418")</f>
        <v>https://pbs.twimg.com/profile_banners/30201110/1631937418</v>
      </c>
      <c r="BK120" t="s">
        <v>2344</v>
      </c>
      <c r="BL120" t="b">
        <v>0</v>
      </c>
      <c r="BN120" t="s">
        <v>65</v>
      </c>
      <c r="BO120" t="s">
        <v>2345</v>
      </c>
      <c r="BP120" s="76" t="str">
        <f>HYPERLINK("https://twitter.com/alisyarief")</f>
        <v>https://twitter.com/alisyarief</v>
      </c>
      <c r="BQ120" s="44"/>
      <c r="BR120" s="44"/>
      <c r="BS120" s="44"/>
      <c r="BT120" s="44"/>
      <c r="BU120" s="44"/>
      <c r="BV120" s="44"/>
      <c r="BW120" s="44"/>
      <c r="BX120" s="44"/>
      <c r="BY120" s="44"/>
      <c r="BZ120" s="44"/>
      <c r="CA120" s="44"/>
      <c r="CB120" s="45"/>
      <c r="CC120" s="44"/>
      <c r="CD120" s="45"/>
      <c r="CE120" s="44"/>
      <c r="CF120" s="45"/>
      <c r="CG120" s="44"/>
      <c r="CH120" s="45"/>
      <c r="CI120" s="44"/>
      <c r="CJ120" s="112" t="str">
        <f>REPLACE(INDEX(GroupVertices[Group],MATCH("~"&amp;Vertices[[#This Row],[Vertex]],GroupVertices[Vertex],0)),1,1,"")</f>
        <v>12</v>
      </c>
      <c r="CK120" s="44"/>
      <c r="CL120" s="44"/>
      <c r="CM120" s="44"/>
      <c r="CN120" s="44"/>
      <c r="CO120" s="2"/>
    </row>
    <row r="121" spans="1:93" ht="41.45" customHeight="1">
      <c r="A121" s="59" t="s">
        <v>390</v>
      </c>
      <c r="C121" s="60"/>
      <c r="D121" s="60" t="s">
        <v>64</v>
      </c>
      <c r="E121" s="61">
        <v>1.5</v>
      </c>
      <c r="F121" s="63"/>
      <c r="G121" s="92" t="str">
        <f>HYPERLINK("https://pbs.twimg.com/profile_images/1414460386015735812/oJ95KSRl_normal.jpg")</f>
        <v>https://pbs.twimg.com/profile_images/1414460386015735812/oJ95KSRl_normal.jpg</v>
      </c>
      <c r="H121" s="60"/>
      <c r="I121" s="64" t="str">
        <f>Vertices[[#This Row],[Vertex]]</f>
        <v>puanmaharani_ri</v>
      </c>
      <c r="J121" s="65"/>
      <c r="K121" s="65"/>
      <c r="L121" s="64"/>
      <c r="M121" s="68"/>
      <c r="N121" s="69">
        <v>3251.7998046875</v>
      </c>
      <c r="O121" s="69">
        <v>4976.9794921875</v>
      </c>
      <c r="P121" s="70"/>
      <c r="Q121" s="71"/>
      <c r="R121" s="71"/>
      <c r="S121" s="78"/>
      <c r="T121" s="44">
        <v>1</v>
      </c>
      <c r="U121" s="44">
        <v>0</v>
      </c>
      <c r="V121" s="45">
        <v>0</v>
      </c>
      <c r="W121" s="45">
        <v>0.100036</v>
      </c>
      <c r="X121" s="45">
        <v>0.000515</v>
      </c>
      <c r="Y121" s="45">
        <v>0.003411</v>
      </c>
      <c r="Z121" s="45">
        <v>0</v>
      </c>
      <c r="AA121" s="45">
        <v>0</v>
      </c>
      <c r="AB121" s="66">
        <v>121</v>
      </c>
      <c r="AC1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1" s="67"/>
      <c r="AE121" t="s">
        <v>1643</v>
      </c>
      <c r="AF121" s="74" t="s">
        <v>1835</v>
      </c>
      <c r="AG121">
        <v>27068</v>
      </c>
      <c r="AH121">
        <v>13</v>
      </c>
      <c r="AI121">
        <v>3022</v>
      </c>
      <c r="AJ121">
        <v>28</v>
      </c>
      <c r="AK121">
        <v>25</v>
      </c>
      <c r="AL121">
        <v>860</v>
      </c>
      <c r="AM121" t="b">
        <v>0</v>
      </c>
      <c r="AN121" s="73">
        <v>44379.32237268519</v>
      </c>
      <c r="AP121" t="s">
        <v>2116</v>
      </c>
      <c r="AY121" t="b">
        <v>0</v>
      </c>
      <c r="BB121" t="b">
        <v>0</v>
      </c>
      <c r="BC121" t="b">
        <v>1</v>
      </c>
      <c r="BD121" t="b">
        <v>1</v>
      </c>
      <c r="BE121" t="b">
        <v>0</v>
      </c>
      <c r="BF121" t="b">
        <v>0</v>
      </c>
      <c r="BG121" t="b">
        <v>0</v>
      </c>
      <c r="BH121" t="b">
        <v>0</v>
      </c>
      <c r="BI121" s="76" t="str">
        <f>HYPERLINK("https://pbs.twimg.com/profile_banners/1410866743271051267/1660816470")</f>
        <v>https://pbs.twimg.com/profile_banners/1410866743271051267/1660816470</v>
      </c>
      <c r="BK121" t="s">
        <v>2343</v>
      </c>
      <c r="BL121" t="b">
        <v>0</v>
      </c>
      <c r="BN121" t="s">
        <v>65</v>
      </c>
      <c r="BO121" t="s">
        <v>2345</v>
      </c>
      <c r="BP121" s="76" t="str">
        <f>HYPERLINK("https://twitter.com/puanmaharani_ri")</f>
        <v>https://twitter.com/puanmaharani_ri</v>
      </c>
      <c r="BQ121" s="44"/>
      <c r="BR121" s="44"/>
      <c r="BS121" s="44"/>
      <c r="BT121" s="44"/>
      <c r="BU121" s="44"/>
      <c r="BV121" s="44"/>
      <c r="BW121" s="44"/>
      <c r="BX121" s="44"/>
      <c r="BY121" s="44"/>
      <c r="BZ121" s="44"/>
      <c r="CA121" s="44"/>
      <c r="CB121" s="45"/>
      <c r="CC121" s="44"/>
      <c r="CD121" s="45"/>
      <c r="CE121" s="44"/>
      <c r="CF121" s="45"/>
      <c r="CG121" s="44"/>
      <c r="CH121" s="45"/>
      <c r="CI121" s="44"/>
      <c r="CJ121" s="112" t="str">
        <f>REPLACE(INDEX(GroupVertices[Group],MATCH("~"&amp;Vertices[[#This Row],[Vertex]],GroupVertices[Vertex],0)),1,1,"")</f>
        <v>4</v>
      </c>
      <c r="CK121" s="44"/>
      <c r="CL121" s="44"/>
      <c r="CM121" s="44"/>
      <c r="CN121" s="44"/>
      <c r="CO121" s="2"/>
    </row>
    <row r="122" spans="1:93" ht="41.45" customHeight="1">
      <c r="A122" s="59" t="s">
        <v>352</v>
      </c>
      <c r="C122" s="60"/>
      <c r="D122" s="60" t="s">
        <v>64</v>
      </c>
      <c r="E122" s="61">
        <v>1.5</v>
      </c>
      <c r="F122" s="63"/>
      <c r="G122" s="92" t="str">
        <f>HYPERLINK("https://pbs.twimg.com/profile_images/1706121964908388352/wXUZWXh7_normal.jpg")</f>
        <v>https://pbs.twimg.com/profile_images/1706121964908388352/wXUZWXh7_normal.jpg</v>
      </c>
      <c r="H122" s="60"/>
      <c r="I122" s="64" t="str">
        <f>Vertices[[#This Row],[Vertex]]</f>
        <v>taufiqa27</v>
      </c>
      <c r="J122" s="65"/>
      <c r="K122" s="65"/>
      <c r="L122" s="64"/>
      <c r="M122" s="68"/>
      <c r="N122" s="69">
        <v>6103.92724609375</v>
      </c>
      <c r="O122" s="69">
        <v>7035.107421875</v>
      </c>
      <c r="P122" s="70"/>
      <c r="Q122" s="71"/>
      <c r="R122" s="71"/>
      <c r="S122" s="78"/>
      <c r="T122" s="44">
        <v>1</v>
      </c>
      <c r="U122" s="44">
        <v>0</v>
      </c>
      <c r="V122" s="45">
        <v>0</v>
      </c>
      <c r="W122" s="45">
        <v>0.100036</v>
      </c>
      <c r="X122" s="45">
        <v>0.00039</v>
      </c>
      <c r="Y122" s="45">
        <v>0.003427</v>
      </c>
      <c r="Z122" s="45">
        <v>0</v>
      </c>
      <c r="AA122" s="45">
        <v>0</v>
      </c>
      <c r="AB122" s="66">
        <v>122</v>
      </c>
      <c r="AC1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2" s="67"/>
      <c r="AE122" t="s">
        <v>1554</v>
      </c>
      <c r="AF122" s="74" t="s">
        <v>1322</v>
      </c>
      <c r="AG122">
        <v>6</v>
      </c>
      <c r="AH122">
        <v>48</v>
      </c>
      <c r="AI122">
        <v>307</v>
      </c>
      <c r="AJ122">
        <v>0</v>
      </c>
      <c r="AK122">
        <v>2199</v>
      </c>
      <c r="AL122">
        <v>9</v>
      </c>
      <c r="AM122" t="b">
        <v>0</v>
      </c>
      <c r="AN122" s="73">
        <v>44780.24474537037</v>
      </c>
      <c r="AP122" t="s">
        <v>2039</v>
      </c>
      <c r="AY122" t="b">
        <v>0</v>
      </c>
      <c r="BB122" t="b">
        <v>0</v>
      </c>
      <c r="BC122" t="b">
        <v>1</v>
      </c>
      <c r="BD122" t="b">
        <v>1</v>
      </c>
      <c r="BE122" t="b">
        <v>0</v>
      </c>
      <c r="BF122" t="b">
        <v>0</v>
      </c>
      <c r="BG122" t="b">
        <v>0</v>
      </c>
      <c r="BH122" t="b">
        <v>0</v>
      </c>
      <c r="BI122" s="76" t="str">
        <f>HYPERLINK("https://pbs.twimg.com/profile_banners/1556156185979408384/1659932772")</f>
        <v>https://pbs.twimg.com/profile_banners/1556156185979408384/1659932772</v>
      </c>
      <c r="BK122" t="s">
        <v>2343</v>
      </c>
      <c r="BL122" t="b">
        <v>0</v>
      </c>
      <c r="BN122" t="s">
        <v>65</v>
      </c>
      <c r="BO122" t="s">
        <v>2345</v>
      </c>
      <c r="BP122" s="76" t="str">
        <f>HYPERLINK("https://twitter.com/taufiqa27")</f>
        <v>https://twitter.com/taufiqa27</v>
      </c>
      <c r="BQ122" s="44"/>
      <c r="BR122" s="44"/>
      <c r="BS122" s="44"/>
      <c r="BT122" s="44"/>
      <c r="BU122" s="44"/>
      <c r="BV122" s="44"/>
      <c r="BW122" s="44"/>
      <c r="BX122" s="44"/>
      <c r="BY122" s="44"/>
      <c r="BZ122" s="44"/>
      <c r="CA122" s="44"/>
      <c r="CB122" s="45"/>
      <c r="CC122" s="44"/>
      <c r="CD122" s="45"/>
      <c r="CE122" s="44"/>
      <c r="CF122" s="45"/>
      <c r="CG122" s="44"/>
      <c r="CH122" s="45"/>
      <c r="CI122" s="44"/>
      <c r="CJ122" s="112" t="str">
        <f>REPLACE(INDEX(GroupVertices[Group],MATCH("~"&amp;Vertices[[#This Row],[Vertex]],GroupVertices[Vertex],0)),1,1,"")</f>
        <v>12</v>
      </c>
      <c r="CK122" s="44"/>
      <c r="CL122" s="44"/>
      <c r="CM122" s="44"/>
      <c r="CN122" s="44"/>
      <c r="CO122" s="2"/>
    </row>
    <row r="123" spans="1:93" ht="41.45" customHeight="1">
      <c r="A123" s="59" t="s">
        <v>465</v>
      </c>
      <c r="C123" s="60"/>
      <c r="D123" s="60" t="s">
        <v>64</v>
      </c>
      <c r="E123" s="61">
        <v>1.5</v>
      </c>
      <c r="F123" s="63"/>
      <c r="G123" s="92" t="str">
        <f>HYPERLINK("https://pbs.twimg.com/profile_images/1609121104240726017/zkZQNvif_normal.jpg")</f>
        <v>https://pbs.twimg.com/profile_images/1609121104240726017/zkZQNvif_normal.jpg</v>
      </c>
      <c r="H123" s="60"/>
      <c r="I123" s="64" t="str">
        <f>Vertices[[#This Row],[Vertex]]</f>
        <v>yosephrosario_</v>
      </c>
      <c r="J123" s="65"/>
      <c r="K123" s="65"/>
      <c r="L123" s="64"/>
      <c r="M123" s="68"/>
      <c r="N123" s="69">
        <v>5631.1259765625</v>
      </c>
      <c r="O123" s="69">
        <v>5018.9345703125</v>
      </c>
      <c r="P123" s="70"/>
      <c r="Q123" s="71"/>
      <c r="R123" s="71"/>
      <c r="S123" s="78"/>
      <c r="T123" s="44">
        <v>1</v>
      </c>
      <c r="U123" s="44">
        <v>0</v>
      </c>
      <c r="V123" s="45">
        <v>0</v>
      </c>
      <c r="W123" s="45">
        <v>0.099487</v>
      </c>
      <c r="X123" s="45">
        <v>0.000194</v>
      </c>
      <c r="Y123" s="45">
        <v>0.003467</v>
      </c>
      <c r="Z123" s="45">
        <v>0</v>
      </c>
      <c r="AA123" s="45">
        <v>0</v>
      </c>
      <c r="AB123" s="66">
        <v>123</v>
      </c>
      <c r="AC1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3" s="67"/>
      <c r="AE123" t="s">
        <v>1734</v>
      </c>
      <c r="AF123" s="74" t="s">
        <v>1375</v>
      </c>
      <c r="AG123">
        <v>14664</v>
      </c>
      <c r="AH123">
        <v>2011</v>
      </c>
      <c r="AI123">
        <v>25921</v>
      </c>
      <c r="AJ123">
        <v>2</v>
      </c>
      <c r="AK123">
        <v>67792</v>
      </c>
      <c r="AL123">
        <v>1117</v>
      </c>
      <c r="AM123" t="b">
        <v>0</v>
      </c>
      <c r="AN123" s="73">
        <v>42933.388761574075</v>
      </c>
      <c r="AP123" t="s">
        <v>2201</v>
      </c>
      <c r="AW123">
        <v>1.70190817554777E+18</v>
      </c>
      <c r="AY123" t="b">
        <v>1</v>
      </c>
      <c r="BB123" t="b">
        <v>0</v>
      </c>
      <c r="BC123" t="b">
        <v>1</v>
      </c>
      <c r="BD123" t="b">
        <v>1</v>
      </c>
      <c r="BE123" t="b">
        <v>0</v>
      </c>
      <c r="BF123" t="b">
        <v>1</v>
      </c>
      <c r="BG123" t="b">
        <v>0</v>
      </c>
      <c r="BH123" t="b">
        <v>0</v>
      </c>
      <c r="BI123" s="76" t="str">
        <f>HYPERLINK("https://pbs.twimg.com/profile_banners/886878090768424960/1675205359")</f>
        <v>https://pbs.twimg.com/profile_banners/886878090768424960/1675205359</v>
      </c>
      <c r="BK123" t="s">
        <v>2343</v>
      </c>
      <c r="BL123" t="b">
        <v>0</v>
      </c>
      <c r="BN123" t="s">
        <v>65</v>
      </c>
      <c r="BO123" t="s">
        <v>2345</v>
      </c>
      <c r="BP123" s="76" t="str">
        <f>HYPERLINK("https://twitter.com/yosephrosario_")</f>
        <v>https://twitter.com/yosephrosario_</v>
      </c>
      <c r="BQ123" s="44"/>
      <c r="BR123" s="44"/>
      <c r="BS123" s="44"/>
      <c r="BT123" s="44"/>
      <c r="BU123" s="44"/>
      <c r="BV123" s="44"/>
      <c r="BW123" s="44"/>
      <c r="BX123" s="44"/>
      <c r="BY123" s="44"/>
      <c r="BZ123" s="44"/>
      <c r="CA123" s="44"/>
      <c r="CB123" s="45"/>
      <c r="CC123" s="44"/>
      <c r="CD123" s="45"/>
      <c r="CE123" s="44"/>
      <c r="CF123" s="45"/>
      <c r="CG123" s="44"/>
      <c r="CH123" s="45"/>
      <c r="CI123" s="44"/>
      <c r="CJ123" s="112" t="str">
        <f>REPLACE(INDEX(GroupVertices[Group],MATCH("~"&amp;Vertices[[#This Row],[Vertex]],GroupVertices[Vertex],0)),1,1,"")</f>
        <v>11</v>
      </c>
      <c r="CK123" s="44"/>
      <c r="CL123" s="44"/>
      <c r="CM123" s="44"/>
      <c r="CN123" s="44"/>
      <c r="CO123" s="2"/>
    </row>
    <row r="124" spans="1:93" ht="41.45" customHeight="1">
      <c r="A124" s="59" t="s">
        <v>463</v>
      </c>
      <c r="C124" s="60"/>
      <c r="D124" s="60" t="s">
        <v>64</v>
      </c>
      <c r="E124" s="61">
        <v>1.5</v>
      </c>
      <c r="F124" s="63"/>
      <c r="G124" s="92" t="str">
        <f>HYPERLINK("https://pbs.twimg.com/profile_images/1589621389199572993/5YShP7I8_normal.jpg")</f>
        <v>https://pbs.twimg.com/profile_images/1589621389199572993/5YShP7I8_normal.jpg</v>
      </c>
      <c r="H124" s="60"/>
      <c r="I124" s="64" t="str">
        <f>Vertices[[#This Row],[Vertex]]</f>
        <v>lanyallaacademy</v>
      </c>
      <c r="J124" s="65"/>
      <c r="K124" s="65"/>
      <c r="L124" s="64"/>
      <c r="M124" s="68"/>
      <c r="N124" s="69">
        <v>5653.765625</v>
      </c>
      <c r="O124" s="69">
        <v>6215.59521484375</v>
      </c>
      <c r="P124" s="70"/>
      <c r="Q124" s="71"/>
      <c r="R124" s="71"/>
      <c r="S124" s="78"/>
      <c r="T124" s="44">
        <v>1</v>
      </c>
      <c r="U124" s="44">
        <v>0</v>
      </c>
      <c r="V124" s="45">
        <v>0</v>
      </c>
      <c r="W124" s="45">
        <v>0.099487</v>
      </c>
      <c r="X124" s="45">
        <v>0.000194</v>
      </c>
      <c r="Y124" s="45">
        <v>0.003467</v>
      </c>
      <c r="Z124" s="45">
        <v>0</v>
      </c>
      <c r="AA124" s="45">
        <v>0</v>
      </c>
      <c r="AB124" s="66">
        <v>124</v>
      </c>
      <c r="AC1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4" s="67"/>
      <c r="AE124" t="s">
        <v>1733</v>
      </c>
      <c r="AF124" s="74" t="s">
        <v>1898</v>
      </c>
      <c r="AG124">
        <v>11829</v>
      </c>
      <c r="AH124">
        <v>7384</v>
      </c>
      <c r="AI124">
        <v>175435</v>
      </c>
      <c r="AJ124">
        <v>9</v>
      </c>
      <c r="AK124">
        <v>220494</v>
      </c>
      <c r="AL124">
        <v>8747</v>
      </c>
      <c r="AM124" t="b">
        <v>0</v>
      </c>
      <c r="AN124" s="73">
        <v>42506.246724537035</v>
      </c>
      <c r="AO124" t="s">
        <v>1967</v>
      </c>
      <c r="AP124" t="s">
        <v>2199</v>
      </c>
      <c r="AQ124" s="76" t="str">
        <f>HYPERLINK("https://t.co/Bids62h4ab")</f>
        <v>https://t.co/Bids62h4ab</v>
      </c>
      <c r="AR124" s="76" t="str">
        <f>HYPERLINK("https://www.instagram.com/lanyalla_academia/")</f>
        <v>https://www.instagram.com/lanyalla_academia/</v>
      </c>
      <c r="AS124" t="s">
        <v>2313</v>
      </c>
      <c r="AW124">
        <v>1.68485742625079E+18</v>
      </c>
      <c r="AX124" s="76" t="str">
        <f>HYPERLINK("https://t.co/Bids62h4ab")</f>
        <v>https://t.co/Bids62h4ab</v>
      </c>
      <c r="AY124" t="b">
        <v>1</v>
      </c>
      <c r="BB124" t="b">
        <v>0</v>
      </c>
      <c r="BC124" t="b">
        <v>0</v>
      </c>
      <c r="BD124" t="b">
        <v>1</v>
      </c>
      <c r="BE124" t="b">
        <v>0</v>
      </c>
      <c r="BF124" t="b">
        <v>1</v>
      </c>
      <c r="BG124" t="b">
        <v>0</v>
      </c>
      <c r="BH124" t="b">
        <v>0</v>
      </c>
      <c r="BI124" s="76" t="str">
        <f>HYPERLINK("https://pbs.twimg.com/profile_banners/732087001600548864/1665079427")</f>
        <v>https://pbs.twimg.com/profile_banners/732087001600548864/1665079427</v>
      </c>
      <c r="BK124" t="s">
        <v>2343</v>
      </c>
      <c r="BL124" t="b">
        <v>0</v>
      </c>
      <c r="BN124" t="s">
        <v>65</v>
      </c>
      <c r="BO124" t="s">
        <v>2345</v>
      </c>
      <c r="BP124" s="76" t="str">
        <f>HYPERLINK("https://twitter.com/lanyallaacademy")</f>
        <v>https://twitter.com/lanyallaacademy</v>
      </c>
      <c r="BQ124" s="44"/>
      <c r="BR124" s="44"/>
      <c r="BS124" s="44"/>
      <c r="BT124" s="44"/>
      <c r="BU124" s="44"/>
      <c r="BV124" s="44"/>
      <c r="BW124" s="44"/>
      <c r="BX124" s="44"/>
      <c r="BY124" s="44"/>
      <c r="BZ124" s="44"/>
      <c r="CA124" s="44"/>
      <c r="CB124" s="45"/>
      <c r="CC124" s="44"/>
      <c r="CD124" s="45"/>
      <c r="CE124" s="44"/>
      <c r="CF124" s="45"/>
      <c r="CG124" s="44"/>
      <c r="CH124" s="45"/>
      <c r="CI124" s="44"/>
      <c r="CJ124" s="112" t="str">
        <f>REPLACE(INDEX(GroupVertices[Group],MATCH("~"&amp;Vertices[[#This Row],[Vertex]],GroupVertices[Vertex],0)),1,1,"")</f>
        <v>11</v>
      </c>
      <c r="CK124" s="44"/>
      <c r="CL124" s="44"/>
      <c r="CM124" s="44"/>
      <c r="CN124" s="44"/>
      <c r="CO124" s="2"/>
    </row>
    <row r="125" spans="1:93" ht="41.45" customHeight="1">
      <c r="A125" s="59" t="s">
        <v>464</v>
      </c>
      <c r="C125" s="60"/>
      <c r="D125" s="60" t="s">
        <v>64</v>
      </c>
      <c r="E125" s="61">
        <v>1.5</v>
      </c>
      <c r="F125" s="63"/>
      <c r="G125" s="92" t="str">
        <f>HYPERLINK("https://pbs.twimg.com/profile_images/1566090462595026946/bF-_giVZ_normal.jpg")</f>
        <v>https://pbs.twimg.com/profile_images/1566090462595026946/bF-_giVZ_normal.jpg</v>
      </c>
      <c r="H125" s="60"/>
      <c r="I125" s="64" t="str">
        <f>Vertices[[#This Row],[Vertex]]</f>
        <v>ontohbrontoh</v>
      </c>
      <c r="J125" s="65"/>
      <c r="K125" s="65"/>
      <c r="L125" s="64"/>
      <c r="M125" s="68"/>
      <c r="N125" s="69">
        <v>5971.498046875</v>
      </c>
      <c r="O125" s="69">
        <v>6204.2509765625</v>
      </c>
      <c r="P125" s="70"/>
      <c r="Q125" s="71"/>
      <c r="R125" s="71"/>
      <c r="S125" s="78"/>
      <c r="T125" s="44">
        <v>1</v>
      </c>
      <c r="U125" s="44">
        <v>0</v>
      </c>
      <c r="V125" s="45">
        <v>0</v>
      </c>
      <c r="W125" s="45">
        <v>0.099487</v>
      </c>
      <c r="X125" s="45">
        <v>0.000194</v>
      </c>
      <c r="Y125" s="45">
        <v>0.003467</v>
      </c>
      <c r="Z125" s="45">
        <v>0</v>
      </c>
      <c r="AA125" s="45">
        <v>0</v>
      </c>
      <c r="AB125" s="66">
        <v>125</v>
      </c>
      <c r="AC1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5" s="67"/>
      <c r="AE125" t="s">
        <v>464</v>
      </c>
      <c r="AF125" s="74" t="s">
        <v>1899</v>
      </c>
      <c r="AG125">
        <v>15</v>
      </c>
      <c r="AH125">
        <v>32</v>
      </c>
      <c r="AI125">
        <v>2498</v>
      </c>
      <c r="AJ125">
        <v>0</v>
      </c>
      <c r="AK125">
        <v>1925</v>
      </c>
      <c r="AL125">
        <v>87</v>
      </c>
      <c r="AM125" t="b">
        <v>0</v>
      </c>
      <c r="AN125" s="73">
        <v>44778.00440972222</v>
      </c>
      <c r="AO125" t="s">
        <v>1964</v>
      </c>
      <c r="AP125" t="s">
        <v>2200</v>
      </c>
      <c r="AY125" t="b">
        <v>0</v>
      </c>
      <c r="BB125" t="b">
        <v>0</v>
      </c>
      <c r="BC125" t="b">
        <v>1</v>
      </c>
      <c r="BD125" t="b">
        <v>1</v>
      </c>
      <c r="BE125" t="b">
        <v>0</v>
      </c>
      <c r="BF125" t="b">
        <v>0</v>
      </c>
      <c r="BG125" t="b">
        <v>0</v>
      </c>
      <c r="BH125" t="b">
        <v>0</v>
      </c>
      <c r="BK125" t="s">
        <v>2343</v>
      </c>
      <c r="BL125" t="b">
        <v>0</v>
      </c>
      <c r="BN125" t="s">
        <v>65</v>
      </c>
      <c r="BO125" t="s">
        <v>2345</v>
      </c>
      <c r="BP125" s="76" t="str">
        <f>HYPERLINK("https://twitter.com/ontohbrontoh")</f>
        <v>https://twitter.com/ontohbrontoh</v>
      </c>
      <c r="BQ125" s="44"/>
      <c r="BR125" s="44"/>
      <c r="BS125" s="44"/>
      <c r="BT125" s="44"/>
      <c r="BU125" s="44"/>
      <c r="BV125" s="44"/>
      <c r="BW125" s="44"/>
      <c r="BX125" s="44"/>
      <c r="BY125" s="44"/>
      <c r="BZ125" s="44"/>
      <c r="CA125" s="44"/>
      <c r="CB125" s="45"/>
      <c r="CC125" s="44"/>
      <c r="CD125" s="45"/>
      <c r="CE125" s="44"/>
      <c r="CF125" s="45"/>
      <c r="CG125" s="44"/>
      <c r="CH125" s="45"/>
      <c r="CI125" s="44"/>
      <c r="CJ125" s="112" t="str">
        <f>REPLACE(INDEX(GroupVertices[Group],MATCH("~"&amp;Vertices[[#This Row],[Vertex]],GroupVertices[Vertex],0)),1,1,"")</f>
        <v>11</v>
      </c>
      <c r="CK125" s="44"/>
      <c r="CL125" s="44"/>
      <c r="CM125" s="44"/>
      <c r="CN125" s="44"/>
      <c r="CO125" s="2"/>
    </row>
    <row r="126" spans="1:93" ht="41.45" customHeight="1">
      <c r="A126" s="59" t="s">
        <v>378</v>
      </c>
      <c r="C126" s="60"/>
      <c r="D126" s="60" t="s">
        <v>64</v>
      </c>
      <c r="E126" s="61">
        <v>1.5</v>
      </c>
      <c r="F126" s="63"/>
      <c r="G126" s="92" t="str">
        <f>HYPERLINK("https://pbs.twimg.com/profile_images/1608634991973629952/vIMBYg8F_normal.jpg")</f>
        <v>https://pbs.twimg.com/profile_images/1608634991973629952/vIMBYg8F_normal.jpg</v>
      </c>
      <c r="H126" s="60"/>
      <c r="I126" s="64" t="str">
        <f>Vertices[[#This Row],[Vertex]]</f>
        <v>sonyareksby</v>
      </c>
      <c r="J126" s="65"/>
      <c r="K126" s="65"/>
      <c r="L126" s="64"/>
      <c r="M126" s="68"/>
      <c r="N126" s="69">
        <v>7333.30859375</v>
      </c>
      <c r="O126" s="69">
        <v>6872.45458984375</v>
      </c>
      <c r="P126" s="70"/>
      <c r="Q126" s="71"/>
      <c r="R126" s="71"/>
      <c r="S126" s="78"/>
      <c r="T126" s="44">
        <v>1</v>
      </c>
      <c r="U126" s="44">
        <v>0</v>
      </c>
      <c r="V126" s="45">
        <v>0</v>
      </c>
      <c r="W126" s="45">
        <v>0.098408</v>
      </c>
      <c r="X126" s="45">
        <v>0.00121</v>
      </c>
      <c r="Y126" s="45">
        <v>0.003414</v>
      </c>
      <c r="Z126" s="45">
        <v>0</v>
      </c>
      <c r="AA126" s="45">
        <v>0</v>
      </c>
      <c r="AB126" s="66">
        <v>126</v>
      </c>
      <c r="AC1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6" s="67"/>
      <c r="AE126" t="s">
        <v>1618</v>
      </c>
      <c r="AF126" s="74" t="s">
        <v>1827</v>
      </c>
      <c r="AG126">
        <v>2708</v>
      </c>
      <c r="AH126">
        <v>4274</v>
      </c>
      <c r="AI126">
        <v>86034</v>
      </c>
      <c r="AJ126">
        <v>24</v>
      </c>
      <c r="AK126">
        <v>322335</v>
      </c>
      <c r="AL126">
        <v>122</v>
      </c>
      <c r="AM126" t="b">
        <v>0</v>
      </c>
      <c r="AN126" s="73">
        <v>40024.09104166667</v>
      </c>
      <c r="AO126" t="s">
        <v>1960</v>
      </c>
      <c r="AP126" t="s">
        <v>2095</v>
      </c>
      <c r="AY126" t="b">
        <v>0</v>
      </c>
      <c r="BB126" t="b">
        <v>0</v>
      </c>
      <c r="BC126" t="b">
        <v>0</v>
      </c>
      <c r="BD126" t="b">
        <v>0</v>
      </c>
      <c r="BE126" t="b">
        <v>0</v>
      </c>
      <c r="BF126" t="b">
        <v>1</v>
      </c>
      <c r="BG126" t="b">
        <v>0</v>
      </c>
      <c r="BH126" t="b">
        <v>0</v>
      </c>
      <c r="BI126" s="76" t="str">
        <f>HYPERLINK("https://pbs.twimg.com/profile_banners/61361871/1558273370")</f>
        <v>https://pbs.twimg.com/profile_banners/61361871/1558273370</v>
      </c>
      <c r="BK126" t="s">
        <v>2343</v>
      </c>
      <c r="BL126" t="b">
        <v>0</v>
      </c>
      <c r="BN126" t="s">
        <v>65</v>
      </c>
      <c r="BO126" t="s">
        <v>2345</v>
      </c>
      <c r="BP126" s="76" t="str">
        <f>HYPERLINK("https://twitter.com/sonyareksby")</f>
        <v>https://twitter.com/sonyareksby</v>
      </c>
      <c r="BQ126" s="44"/>
      <c r="BR126" s="44"/>
      <c r="BS126" s="44"/>
      <c r="BT126" s="44"/>
      <c r="BU126" s="44"/>
      <c r="BV126" s="44"/>
      <c r="BW126" s="44"/>
      <c r="BX126" s="44"/>
      <c r="BY126" s="44"/>
      <c r="BZ126" s="44"/>
      <c r="CA126" s="44"/>
      <c r="CB126" s="45"/>
      <c r="CC126" s="44"/>
      <c r="CD126" s="45"/>
      <c r="CE126" s="44"/>
      <c r="CF126" s="45"/>
      <c r="CG126" s="44"/>
      <c r="CH126" s="45"/>
      <c r="CI126" s="44"/>
      <c r="CJ126" s="112" t="str">
        <f>REPLACE(INDEX(GroupVertices[Group],MATCH("~"&amp;Vertices[[#This Row],[Vertex]],GroupVertices[Vertex],0)),1,1,"")</f>
        <v>13</v>
      </c>
      <c r="CK126" s="44"/>
      <c r="CL126" s="44"/>
      <c r="CM126" s="44"/>
      <c r="CN126" s="44"/>
      <c r="CO126" s="2"/>
    </row>
    <row r="127" spans="1:93" ht="41.45" customHeight="1">
      <c r="A127" s="59" t="s">
        <v>363</v>
      </c>
      <c r="C127" s="60"/>
      <c r="D127" s="60" t="s">
        <v>64</v>
      </c>
      <c r="E127" s="61">
        <v>1.5</v>
      </c>
      <c r="F127" s="63"/>
      <c r="G127" s="92" t="str">
        <f>HYPERLINK("https://pbs.twimg.com/profile_images/1691021264838909952/hHIMACYY_normal.jpg")</f>
        <v>https://pbs.twimg.com/profile_images/1691021264838909952/hHIMACYY_normal.jpg</v>
      </c>
      <c r="H127" s="60"/>
      <c r="I127" s="64" t="str">
        <f>Vertices[[#This Row],[Vertex]]</f>
        <v>helmifelis_</v>
      </c>
      <c r="J127" s="65"/>
      <c r="K127" s="65"/>
      <c r="L127" s="64"/>
      <c r="M127" s="68"/>
      <c r="N127" s="69">
        <v>5163.2119140625</v>
      </c>
      <c r="O127" s="69">
        <v>9323.3916015625</v>
      </c>
      <c r="P127" s="70"/>
      <c r="Q127" s="71"/>
      <c r="R127" s="71"/>
      <c r="S127" s="78"/>
      <c r="T127" s="44">
        <v>1</v>
      </c>
      <c r="U127" s="44">
        <v>0</v>
      </c>
      <c r="V127" s="45">
        <v>0</v>
      </c>
      <c r="W127" s="45">
        <v>0.0204</v>
      </c>
      <c r="X127" s="45">
        <v>0</v>
      </c>
      <c r="Y127" s="45">
        <v>0.003408</v>
      </c>
      <c r="Z127" s="45">
        <v>0</v>
      </c>
      <c r="AA127" s="45">
        <v>0</v>
      </c>
      <c r="AB127" s="66">
        <v>127</v>
      </c>
      <c r="AC1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7" s="67"/>
      <c r="AE127" t="s">
        <v>1593</v>
      </c>
      <c r="AF127" s="74" t="s">
        <v>1339</v>
      </c>
      <c r="AG127">
        <v>133145</v>
      </c>
      <c r="AH127">
        <v>386</v>
      </c>
      <c r="AI127">
        <v>57116</v>
      </c>
      <c r="AJ127">
        <v>18</v>
      </c>
      <c r="AK127">
        <v>58362</v>
      </c>
      <c r="AL127">
        <v>3514</v>
      </c>
      <c r="AM127" t="b">
        <v>0</v>
      </c>
      <c r="AN127" s="73">
        <v>42122.319814814815</v>
      </c>
      <c r="AO127" t="s">
        <v>1958</v>
      </c>
      <c r="AP127" t="s">
        <v>2072</v>
      </c>
      <c r="AW127">
        <v>1.52220683429513E+18</v>
      </c>
      <c r="AY127" t="b">
        <v>0</v>
      </c>
      <c r="BB127" t="b">
        <v>0</v>
      </c>
      <c r="BC127" t="b">
        <v>0</v>
      </c>
      <c r="BD127" t="b">
        <v>1</v>
      </c>
      <c r="BE127" t="b">
        <v>0</v>
      </c>
      <c r="BF127" t="b">
        <v>1</v>
      </c>
      <c r="BG127" t="b">
        <v>0</v>
      </c>
      <c r="BH127" t="b">
        <v>0</v>
      </c>
      <c r="BI127" s="76" t="str">
        <f>HYPERLINK("https://pbs.twimg.com/profile_banners/3177957847/1699183986")</f>
        <v>https://pbs.twimg.com/profile_banners/3177957847/1699183986</v>
      </c>
      <c r="BK127" t="s">
        <v>2343</v>
      </c>
      <c r="BL127" t="b">
        <v>0</v>
      </c>
      <c r="BN127" t="s">
        <v>65</v>
      </c>
      <c r="BO127" t="s">
        <v>2345</v>
      </c>
      <c r="BP127" s="76" t="str">
        <f>HYPERLINK("https://twitter.com/helmifelis_")</f>
        <v>https://twitter.com/helmifelis_</v>
      </c>
      <c r="BQ127" s="44"/>
      <c r="BR127" s="44"/>
      <c r="BS127" s="44"/>
      <c r="BT127" s="44"/>
      <c r="BU127" s="44"/>
      <c r="BV127" s="44"/>
      <c r="BW127" s="44"/>
      <c r="BX127" s="44"/>
      <c r="BY127" s="44"/>
      <c r="BZ127" s="44"/>
      <c r="CA127" s="44"/>
      <c r="CB127" s="45"/>
      <c r="CC127" s="44"/>
      <c r="CD127" s="45"/>
      <c r="CE127" s="44"/>
      <c r="CF127" s="45"/>
      <c r="CG127" s="44"/>
      <c r="CH127" s="45"/>
      <c r="CI127" s="44"/>
      <c r="CJ127" s="112" t="str">
        <f>REPLACE(INDEX(GroupVertices[Group],MATCH("~"&amp;Vertices[[#This Row],[Vertex]],GroupVertices[Vertex],0)),1,1,"")</f>
        <v>7</v>
      </c>
      <c r="CK127" s="44"/>
      <c r="CL127" s="44"/>
      <c r="CM127" s="44"/>
      <c r="CN127" s="44"/>
      <c r="CO127" s="2"/>
    </row>
    <row r="128" spans="1:93" ht="41.45" customHeight="1">
      <c r="A128" s="59" t="s">
        <v>362</v>
      </c>
      <c r="C128" s="60"/>
      <c r="D128" s="60" t="s">
        <v>64</v>
      </c>
      <c r="E128" s="61">
        <v>1.5</v>
      </c>
      <c r="F128" s="63"/>
      <c r="G128" s="92" t="str">
        <f>HYPERLINK("https://pbs.twimg.com/profile_images/1548218260042043394/Sk6V_Lpq_normal.jpg")</f>
        <v>https://pbs.twimg.com/profile_images/1548218260042043394/Sk6V_Lpq_normal.jpg</v>
      </c>
      <c r="H128" s="60"/>
      <c r="I128" s="64" t="str">
        <f>Vertices[[#This Row],[Vertex]]</f>
        <v>1keadilan</v>
      </c>
      <c r="J128" s="65"/>
      <c r="K128" s="65"/>
      <c r="L128" s="64"/>
      <c r="M128" s="68"/>
      <c r="N128" s="69">
        <v>5444.0927734375</v>
      </c>
      <c r="O128" s="69">
        <v>6225.52685546875</v>
      </c>
      <c r="P128" s="70"/>
      <c r="Q128" s="71"/>
      <c r="R128" s="71"/>
      <c r="S128" s="78"/>
      <c r="T128" s="44">
        <v>1</v>
      </c>
      <c r="U128" s="44">
        <v>0</v>
      </c>
      <c r="V128" s="45">
        <v>0</v>
      </c>
      <c r="W128" s="45">
        <v>0.0204</v>
      </c>
      <c r="X128" s="45">
        <v>0</v>
      </c>
      <c r="Y128" s="45">
        <v>0.003408</v>
      </c>
      <c r="Z128" s="45">
        <v>0</v>
      </c>
      <c r="AA128" s="45">
        <v>0</v>
      </c>
      <c r="AB128" s="66">
        <v>128</v>
      </c>
      <c r="AC1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8" s="67"/>
      <c r="AE128" t="s">
        <v>1592</v>
      </c>
      <c r="AF128" s="74" t="s">
        <v>1338</v>
      </c>
      <c r="AG128">
        <v>10019</v>
      </c>
      <c r="AH128">
        <v>1157</v>
      </c>
      <c r="AI128">
        <v>1025</v>
      </c>
      <c r="AJ128">
        <v>3</v>
      </c>
      <c r="AK128">
        <v>9511</v>
      </c>
      <c r="AL128">
        <v>18</v>
      </c>
      <c r="AM128" t="b">
        <v>0</v>
      </c>
      <c r="AN128" s="73">
        <v>43136.69975694444</v>
      </c>
      <c r="AW128">
        <v>1.46945168465286E+18</v>
      </c>
      <c r="AY128" t="b">
        <v>0</v>
      </c>
      <c r="BB128" t="b">
        <v>0</v>
      </c>
      <c r="BC128" t="b">
        <v>0</v>
      </c>
      <c r="BD128" t="b">
        <v>1</v>
      </c>
      <c r="BE128" t="b">
        <v>0</v>
      </c>
      <c r="BF128" t="b">
        <v>1</v>
      </c>
      <c r="BG128" t="b">
        <v>0</v>
      </c>
      <c r="BH128" t="b">
        <v>1</v>
      </c>
      <c r="BI128" s="76" t="str">
        <f>HYPERLINK("https://pbs.twimg.com/profile_banners/960555528387620864/1657958973")</f>
        <v>https://pbs.twimg.com/profile_banners/960555528387620864/1657958973</v>
      </c>
      <c r="BK128" t="s">
        <v>2343</v>
      </c>
      <c r="BL128" t="b">
        <v>0</v>
      </c>
      <c r="BN128" t="s">
        <v>65</v>
      </c>
      <c r="BO128" t="s">
        <v>2345</v>
      </c>
      <c r="BP128" s="76" t="str">
        <f>HYPERLINK("https://twitter.com/1keadilan")</f>
        <v>https://twitter.com/1keadilan</v>
      </c>
      <c r="BQ128" s="44"/>
      <c r="BR128" s="44"/>
      <c r="BS128" s="44"/>
      <c r="BT128" s="44"/>
      <c r="BU128" s="44"/>
      <c r="BV128" s="44"/>
      <c r="BW128" s="44"/>
      <c r="BX128" s="44"/>
      <c r="BY128" s="44"/>
      <c r="BZ128" s="44"/>
      <c r="CA128" s="44"/>
      <c r="CB128" s="45"/>
      <c r="CC128" s="44"/>
      <c r="CD128" s="45"/>
      <c r="CE128" s="44"/>
      <c r="CF128" s="45"/>
      <c r="CG128" s="44"/>
      <c r="CH128" s="45"/>
      <c r="CI128" s="44"/>
      <c r="CJ128" s="112" t="str">
        <f>REPLACE(INDEX(GroupVertices[Group],MATCH("~"&amp;Vertices[[#This Row],[Vertex]],GroupVertices[Vertex],0)),1,1,"")</f>
        <v>7</v>
      </c>
      <c r="CK128" s="44"/>
      <c r="CL128" s="44"/>
      <c r="CM128" s="44"/>
      <c r="CN128" s="44"/>
      <c r="CO128" s="2"/>
    </row>
    <row r="129" spans="1:93" ht="41.45" customHeight="1">
      <c r="A129" s="59" t="s">
        <v>367</v>
      </c>
      <c r="C129" s="60"/>
      <c r="D129" s="60" t="s">
        <v>64</v>
      </c>
      <c r="E129" s="61">
        <v>1.5</v>
      </c>
      <c r="F129" s="63"/>
      <c r="G129" s="92" t="str">
        <f>HYPERLINK("https://pbs.twimg.com/profile_images/1291621645191229441/uSRIgS8h_normal.jpg")</f>
        <v>https://pbs.twimg.com/profile_images/1291621645191229441/uSRIgS8h_normal.jpg</v>
      </c>
      <c r="H129" s="60"/>
      <c r="I129" s="64" t="str">
        <f>Vertices[[#This Row],[Vertex]]</f>
        <v>mskaban3</v>
      </c>
      <c r="J129" s="65"/>
      <c r="K129" s="65"/>
      <c r="L129" s="64"/>
      <c r="M129" s="68"/>
      <c r="N129" s="69">
        <v>4907.80908203125</v>
      </c>
      <c r="O129" s="69">
        <v>5863.53564453125</v>
      </c>
      <c r="P129" s="70"/>
      <c r="Q129" s="71"/>
      <c r="R129" s="71"/>
      <c r="S129" s="78"/>
      <c r="T129" s="44">
        <v>1</v>
      </c>
      <c r="U129" s="44">
        <v>0</v>
      </c>
      <c r="V129" s="45">
        <v>0</v>
      </c>
      <c r="W129" s="45">
        <v>0.0204</v>
      </c>
      <c r="X129" s="45">
        <v>0</v>
      </c>
      <c r="Y129" s="45">
        <v>0.003408</v>
      </c>
      <c r="Z129" s="45">
        <v>0</v>
      </c>
      <c r="AA129" s="45">
        <v>0</v>
      </c>
      <c r="AB129" s="66">
        <v>129</v>
      </c>
      <c r="AC1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9" s="67"/>
      <c r="AE129" t="s">
        <v>1597</v>
      </c>
      <c r="AF129" s="74" t="s">
        <v>1819</v>
      </c>
      <c r="AG129">
        <v>4742</v>
      </c>
      <c r="AH129">
        <v>1041</v>
      </c>
      <c r="AI129">
        <v>4415</v>
      </c>
      <c r="AJ129">
        <v>0</v>
      </c>
      <c r="AK129">
        <v>130</v>
      </c>
      <c r="AL129">
        <v>93</v>
      </c>
      <c r="AM129" t="b">
        <v>0</v>
      </c>
      <c r="AN129" s="73">
        <v>44050.25800925926</v>
      </c>
      <c r="AP129" t="s">
        <v>2076</v>
      </c>
      <c r="AY129" t="b">
        <v>0</v>
      </c>
      <c r="BB129" t="b">
        <v>0</v>
      </c>
      <c r="BC129" t="b">
        <v>1</v>
      </c>
      <c r="BD129" t="b">
        <v>1</v>
      </c>
      <c r="BE129" t="b">
        <v>0</v>
      </c>
      <c r="BF129" t="b">
        <v>1</v>
      </c>
      <c r="BG129" t="b">
        <v>0</v>
      </c>
      <c r="BH129" t="b">
        <v>1</v>
      </c>
      <c r="BK129" t="s">
        <v>2343</v>
      </c>
      <c r="BL129" t="b">
        <v>0</v>
      </c>
      <c r="BN129" t="s">
        <v>65</v>
      </c>
      <c r="BO129" t="s">
        <v>2345</v>
      </c>
      <c r="BP129" s="76" t="str">
        <f>HYPERLINK("https://twitter.com/mskaban3")</f>
        <v>https://twitter.com/mskaban3</v>
      </c>
      <c r="BQ129" s="44"/>
      <c r="BR129" s="44"/>
      <c r="BS129" s="44"/>
      <c r="BT129" s="44"/>
      <c r="BU129" s="44"/>
      <c r="BV129" s="44"/>
      <c r="BW129" s="44"/>
      <c r="BX129" s="44"/>
      <c r="BY129" s="44"/>
      <c r="BZ129" s="44"/>
      <c r="CA129" s="44"/>
      <c r="CB129" s="45"/>
      <c r="CC129" s="44"/>
      <c r="CD129" s="45"/>
      <c r="CE129" s="44"/>
      <c r="CF129" s="45"/>
      <c r="CG129" s="44"/>
      <c r="CH129" s="45"/>
      <c r="CI129" s="44"/>
      <c r="CJ129" s="112" t="str">
        <f>REPLACE(INDEX(GroupVertices[Group],MATCH("~"&amp;Vertices[[#This Row],[Vertex]],GroupVertices[Vertex],0)),1,1,"")</f>
        <v>7</v>
      </c>
      <c r="CK129" s="44"/>
      <c r="CL129" s="44"/>
      <c r="CM129" s="44"/>
      <c r="CN129" s="44"/>
      <c r="CO129" s="2"/>
    </row>
    <row r="130" spans="1:93" ht="41.45" customHeight="1">
      <c r="A130" s="59" t="s">
        <v>365</v>
      </c>
      <c r="C130" s="60"/>
      <c r="D130" s="60" t="s">
        <v>64</v>
      </c>
      <c r="E130" s="61">
        <v>1.5</v>
      </c>
      <c r="F130" s="63"/>
      <c r="G130" s="92" t="str">
        <f>HYPERLINK("https://pbs.twimg.com/profile_images/1387967968387092481/Ebhtmf2p_normal.jpg")</f>
        <v>https://pbs.twimg.com/profile_images/1387967968387092481/Ebhtmf2p_normal.jpg</v>
      </c>
      <c r="H130" s="60"/>
      <c r="I130" s="64" t="str">
        <f>Vertices[[#This Row],[Vertex]]</f>
        <v>dpp_partaiummat</v>
      </c>
      <c r="J130" s="65"/>
      <c r="K130" s="65"/>
      <c r="L130" s="64"/>
      <c r="M130" s="68"/>
      <c r="N130" s="69">
        <v>4939.6943359375</v>
      </c>
      <c r="O130" s="69">
        <v>8801.888671875</v>
      </c>
      <c r="P130" s="70"/>
      <c r="Q130" s="71"/>
      <c r="R130" s="71"/>
      <c r="S130" s="78"/>
      <c r="T130" s="44">
        <v>1</v>
      </c>
      <c r="U130" s="44">
        <v>0</v>
      </c>
      <c r="V130" s="45">
        <v>0</v>
      </c>
      <c r="W130" s="45">
        <v>0.0204</v>
      </c>
      <c r="X130" s="45">
        <v>0</v>
      </c>
      <c r="Y130" s="45">
        <v>0.003408</v>
      </c>
      <c r="Z130" s="45">
        <v>0</v>
      </c>
      <c r="AA130" s="45">
        <v>0</v>
      </c>
      <c r="AB130" s="66">
        <v>130</v>
      </c>
      <c r="AC1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0" s="67"/>
      <c r="AE130" t="s">
        <v>1595</v>
      </c>
      <c r="AF130" s="74" t="s">
        <v>1817</v>
      </c>
      <c r="AG130">
        <v>3931</v>
      </c>
      <c r="AH130">
        <v>26</v>
      </c>
      <c r="AI130">
        <v>150</v>
      </c>
      <c r="AJ130">
        <v>7</v>
      </c>
      <c r="AK130">
        <v>1</v>
      </c>
      <c r="AL130">
        <v>43</v>
      </c>
      <c r="AM130" t="b">
        <v>0</v>
      </c>
      <c r="AN130" s="73">
        <v>44316.109768518516</v>
      </c>
      <c r="AP130" t="s">
        <v>2074</v>
      </c>
      <c r="AY130" t="b">
        <v>0</v>
      </c>
      <c r="BB130" t="b">
        <v>0</v>
      </c>
      <c r="BC130" t="b">
        <v>1</v>
      </c>
      <c r="BD130" t="b">
        <v>1</v>
      </c>
      <c r="BE130" t="b">
        <v>0</v>
      </c>
      <c r="BF130" t="b">
        <v>0</v>
      </c>
      <c r="BG130" t="b">
        <v>0</v>
      </c>
      <c r="BH130" t="b">
        <v>0</v>
      </c>
      <c r="BI130" s="76" t="str">
        <f>HYPERLINK("https://pbs.twimg.com/profile_banners/1387959208146980864/1650971797")</f>
        <v>https://pbs.twimg.com/profile_banners/1387959208146980864/1650971797</v>
      </c>
      <c r="BK130" t="s">
        <v>2343</v>
      </c>
      <c r="BL130" t="b">
        <v>0</v>
      </c>
      <c r="BN130" t="s">
        <v>65</v>
      </c>
      <c r="BO130" t="s">
        <v>2345</v>
      </c>
      <c r="BP130" s="76" t="str">
        <f>HYPERLINK("https://twitter.com/dpp_partaiummat")</f>
        <v>https://twitter.com/dpp_partaiummat</v>
      </c>
      <c r="BQ130" s="44"/>
      <c r="BR130" s="44"/>
      <c r="BS130" s="44"/>
      <c r="BT130" s="44"/>
      <c r="BU130" s="44"/>
      <c r="BV130" s="44"/>
      <c r="BW130" s="44"/>
      <c r="BX130" s="44"/>
      <c r="BY130" s="44"/>
      <c r="BZ130" s="44"/>
      <c r="CA130" s="44"/>
      <c r="CB130" s="45"/>
      <c r="CC130" s="44"/>
      <c r="CD130" s="45"/>
      <c r="CE130" s="44"/>
      <c r="CF130" s="45"/>
      <c r="CG130" s="44"/>
      <c r="CH130" s="45"/>
      <c r="CI130" s="44"/>
      <c r="CJ130" s="112" t="str">
        <f>REPLACE(INDEX(GroupVertices[Group],MATCH("~"&amp;Vertices[[#This Row],[Vertex]],GroupVertices[Vertex],0)),1,1,"")</f>
        <v>7</v>
      </c>
      <c r="CK130" s="44"/>
      <c r="CL130" s="44"/>
      <c r="CM130" s="44"/>
      <c r="CN130" s="44"/>
      <c r="CO130" s="2"/>
    </row>
    <row r="131" spans="1:93" ht="41.45" customHeight="1">
      <c r="A131" s="59" t="s">
        <v>371</v>
      </c>
      <c r="C131" s="60"/>
      <c r="D131" s="60" t="s">
        <v>64</v>
      </c>
      <c r="E131" s="61">
        <v>1.5</v>
      </c>
      <c r="F131" s="63"/>
      <c r="G131" s="92" t="str">
        <f>HYPERLINK("https://pbs.twimg.com/profile_images/1611760086707499008/sw6pbhRb_normal.jpg")</f>
        <v>https://pbs.twimg.com/profile_images/1611760086707499008/sw6pbhRb_normal.jpg</v>
      </c>
      <c r="H131" s="60"/>
      <c r="I131" s="64" t="str">
        <f>Vertices[[#This Row],[Vertex]]</f>
        <v>hendri78chniago</v>
      </c>
      <c r="J131" s="65"/>
      <c r="K131" s="65"/>
      <c r="L131" s="64"/>
      <c r="M131" s="68"/>
      <c r="N131" s="69">
        <v>5083.2392578125</v>
      </c>
      <c r="O131" s="69">
        <v>7512.87890625</v>
      </c>
      <c r="P131" s="70"/>
      <c r="Q131" s="71"/>
      <c r="R131" s="71"/>
      <c r="S131" s="78"/>
      <c r="T131" s="44">
        <v>1</v>
      </c>
      <c r="U131" s="44">
        <v>0</v>
      </c>
      <c r="V131" s="45">
        <v>0</v>
      </c>
      <c r="W131" s="45">
        <v>0.0204</v>
      </c>
      <c r="X131" s="45">
        <v>0</v>
      </c>
      <c r="Y131" s="45">
        <v>0.003408</v>
      </c>
      <c r="Z131" s="45">
        <v>0</v>
      </c>
      <c r="AA131" s="45">
        <v>0</v>
      </c>
      <c r="AB131" s="66">
        <v>131</v>
      </c>
      <c r="AC1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1" s="67"/>
      <c r="AE131" t="s">
        <v>1601</v>
      </c>
      <c r="AF131" s="74" t="s">
        <v>1340</v>
      </c>
      <c r="AG131">
        <v>3356</v>
      </c>
      <c r="AH131">
        <v>4295</v>
      </c>
      <c r="AI131">
        <v>9702</v>
      </c>
      <c r="AJ131">
        <v>1</v>
      </c>
      <c r="AK131">
        <v>437</v>
      </c>
      <c r="AL131">
        <v>1310</v>
      </c>
      <c r="AM131" t="b">
        <v>0</v>
      </c>
      <c r="AN131" s="73">
        <v>42651.99585648148</v>
      </c>
      <c r="AO131" t="s">
        <v>1940</v>
      </c>
      <c r="AP131" t="s">
        <v>2080</v>
      </c>
      <c r="AY131" t="b">
        <v>0</v>
      </c>
      <c r="BB131" t="b">
        <v>0</v>
      </c>
      <c r="BC131" t="b">
        <v>1</v>
      </c>
      <c r="BD131" t="b">
        <v>1</v>
      </c>
      <c r="BE131" t="b">
        <v>0</v>
      </c>
      <c r="BF131" t="b">
        <v>0</v>
      </c>
      <c r="BG131" t="b">
        <v>0</v>
      </c>
      <c r="BH131" t="b">
        <v>0</v>
      </c>
      <c r="BI131" s="76" t="str">
        <f>HYPERLINK("https://pbs.twimg.com/profile_banners/784904716509589504/1644855509")</f>
        <v>https://pbs.twimg.com/profile_banners/784904716509589504/1644855509</v>
      </c>
      <c r="BK131" t="s">
        <v>2343</v>
      </c>
      <c r="BL131" t="b">
        <v>0</v>
      </c>
      <c r="BN131" t="s">
        <v>65</v>
      </c>
      <c r="BO131" t="s">
        <v>2345</v>
      </c>
      <c r="BP131" s="76" t="str">
        <f>HYPERLINK("https://twitter.com/hendri78chniago")</f>
        <v>https://twitter.com/hendri78chniago</v>
      </c>
      <c r="BQ131" s="44"/>
      <c r="BR131" s="44"/>
      <c r="BS131" s="44"/>
      <c r="BT131" s="44"/>
      <c r="BU131" s="44"/>
      <c r="BV131" s="44"/>
      <c r="BW131" s="44"/>
      <c r="BX131" s="44"/>
      <c r="BY131" s="44"/>
      <c r="BZ131" s="44"/>
      <c r="CA131" s="44"/>
      <c r="CB131" s="45"/>
      <c r="CC131" s="44"/>
      <c r="CD131" s="45"/>
      <c r="CE131" s="44"/>
      <c r="CF131" s="45"/>
      <c r="CG131" s="44"/>
      <c r="CH131" s="45"/>
      <c r="CI131" s="44"/>
      <c r="CJ131" s="112" t="str">
        <f>REPLACE(INDEX(GroupVertices[Group],MATCH("~"&amp;Vertices[[#This Row],[Vertex]],GroupVertices[Vertex],0)),1,1,"")</f>
        <v>7</v>
      </c>
      <c r="CK131" s="44"/>
      <c r="CL131" s="44"/>
      <c r="CM131" s="44"/>
      <c r="CN131" s="44"/>
      <c r="CO131" s="2"/>
    </row>
    <row r="132" spans="1:93" ht="41.45" customHeight="1">
      <c r="A132" s="59" t="s">
        <v>369</v>
      </c>
      <c r="C132" s="60"/>
      <c r="D132" s="60" t="s">
        <v>64</v>
      </c>
      <c r="E132" s="61">
        <v>1.5</v>
      </c>
      <c r="F132" s="63"/>
      <c r="G132" s="92" t="str">
        <f>HYPERLINK("https://pbs.twimg.com/profile_images/1693105022555521024/rjXvKmYo_normal.jpg")</f>
        <v>https://pbs.twimg.com/profile_images/1693105022555521024/rjXvKmYo_normal.jpg</v>
      </c>
      <c r="H132" s="60"/>
      <c r="I132" s="64" t="str">
        <f>Vertices[[#This Row],[Vertex]]</f>
        <v>ridhorahmadi85</v>
      </c>
      <c r="J132" s="65"/>
      <c r="K132" s="65"/>
      <c r="L132" s="64"/>
      <c r="M132" s="68"/>
      <c r="N132" s="69">
        <v>5366.22021484375</v>
      </c>
      <c r="O132" s="69">
        <v>8793.2373046875</v>
      </c>
      <c r="P132" s="70"/>
      <c r="Q132" s="71"/>
      <c r="R132" s="71"/>
      <c r="S132" s="78"/>
      <c r="T132" s="44">
        <v>1</v>
      </c>
      <c r="U132" s="44">
        <v>0</v>
      </c>
      <c r="V132" s="45">
        <v>0</v>
      </c>
      <c r="W132" s="45">
        <v>0.0204</v>
      </c>
      <c r="X132" s="45">
        <v>0</v>
      </c>
      <c r="Y132" s="45">
        <v>0.003408</v>
      </c>
      <c r="Z132" s="45">
        <v>0</v>
      </c>
      <c r="AA132" s="45">
        <v>0</v>
      </c>
      <c r="AB132" s="66">
        <v>132</v>
      </c>
      <c r="AC1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2" s="67"/>
      <c r="AE132" t="s">
        <v>1599</v>
      </c>
      <c r="AF132" s="74" t="s">
        <v>1821</v>
      </c>
      <c r="AG132">
        <v>3077</v>
      </c>
      <c r="AH132">
        <v>13</v>
      </c>
      <c r="AI132">
        <v>176</v>
      </c>
      <c r="AJ132">
        <v>1</v>
      </c>
      <c r="AK132">
        <v>10</v>
      </c>
      <c r="AL132">
        <v>102</v>
      </c>
      <c r="AM132" t="b">
        <v>0</v>
      </c>
      <c r="AN132" s="73">
        <v>44327.25068287037</v>
      </c>
      <c r="AP132" t="s">
        <v>2078</v>
      </c>
      <c r="AY132" t="b">
        <v>1</v>
      </c>
      <c r="BB132" t="b">
        <v>0</v>
      </c>
      <c r="BC132" t="b">
        <v>1</v>
      </c>
      <c r="BD132" t="b">
        <v>1</v>
      </c>
      <c r="BE132" t="b">
        <v>0</v>
      </c>
      <c r="BF132" t="b">
        <v>0</v>
      </c>
      <c r="BG132" t="b">
        <v>0</v>
      </c>
      <c r="BH132" t="b">
        <v>0</v>
      </c>
      <c r="BI132" s="76" t="str">
        <f>HYPERLINK("https://pbs.twimg.com/profile_banners/1391996708637200387/1620716178")</f>
        <v>https://pbs.twimg.com/profile_banners/1391996708637200387/1620716178</v>
      </c>
      <c r="BK132" t="s">
        <v>2343</v>
      </c>
      <c r="BL132" t="b">
        <v>0</v>
      </c>
      <c r="BN132" t="s">
        <v>65</v>
      </c>
      <c r="BO132" t="s">
        <v>2345</v>
      </c>
      <c r="BP132" s="76" t="str">
        <f>HYPERLINK("https://twitter.com/ridhorahmadi85")</f>
        <v>https://twitter.com/ridhorahmadi85</v>
      </c>
      <c r="BQ132" s="44"/>
      <c r="BR132" s="44"/>
      <c r="BS132" s="44"/>
      <c r="BT132" s="44"/>
      <c r="BU132" s="44"/>
      <c r="BV132" s="44"/>
      <c r="BW132" s="44"/>
      <c r="BX132" s="44"/>
      <c r="BY132" s="44"/>
      <c r="BZ132" s="44"/>
      <c r="CA132" s="44"/>
      <c r="CB132" s="45"/>
      <c r="CC132" s="44"/>
      <c r="CD132" s="45"/>
      <c r="CE132" s="44"/>
      <c r="CF132" s="45"/>
      <c r="CG132" s="44"/>
      <c r="CH132" s="45"/>
      <c r="CI132" s="44"/>
      <c r="CJ132" s="112" t="str">
        <f>REPLACE(INDEX(GroupVertices[Group],MATCH("~"&amp;Vertices[[#This Row],[Vertex]],GroupVertices[Vertex],0)),1,1,"")</f>
        <v>7</v>
      </c>
      <c r="CK132" s="44"/>
      <c r="CL132" s="44"/>
      <c r="CM132" s="44"/>
      <c r="CN132" s="44"/>
      <c r="CO132" s="2"/>
    </row>
    <row r="133" spans="1:93" ht="41.45" customHeight="1">
      <c r="A133" s="59" t="s">
        <v>370</v>
      </c>
      <c r="C133" s="60"/>
      <c r="D133" s="60" t="s">
        <v>64</v>
      </c>
      <c r="E133" s="61">
        <v>1.5</v>
      </c>
      <c r="F133" s="63"/>
      <c r="G133" s="92" t="str">
        <f>HYPERLINK("https://pbs.twimg.com/profile_images/1297057615977963524/1Wm5VYDw_normal.jpg")</f>
        <v>https://pbs.twimg.com/profile_images/1297057615977963524/1Wm5VYDw_normal.jpg</v>
      </c>
      <c r="H133" s="60"/>
      <c r="I133" s="64" t="str">
        <f>Vertices[[#This Row],[Vertex]]</f>
        <v>amien__rais</v>
      </c>
      <c r="J133" s="65"/>
      <c r="K133" s="65"/>
      <c r="L133" s="64"/>
      <c r="M133" s="68"/>
      <c r="N133" s="69">
        <v>5296.0712890625</v>
      </c>
      <c r="O133" s="69">
        <v>5274.021484375</v>
      </c>
      <c r="P133" s="70"/>
      <c r="Q133" s="71"/>
      <c r="R133" s="71"/>
      <c r="S133" s="78"/>
      <c r="T133" s="44">
        <v>1</v>
      </c>
      <c r="U133" s="44">
        <v>0</v>
      </c>
      <c r="V133" s="45">
        <v>0</v>
      </c>
      <c r="W133" s="45">
        <v>0.0204</v>
      </c>
      <c r="X133" s="45">
        <v>0</v>
      </c>
      <c r="Y133" s="45">
        <v>0.003408</v>
      </c>
      <c r="Z133" s="45">
        <v>0</v>
      </c>
      <c r="AA133" s="45">
        <v>0</v>
      </c>
      <c r="AB133" s="66">
        <v>133</v>
      </c>
      <c r="AC1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3" s="67"/>
      <c r="AE133" t="s">
        <v>1600</v>
      </c>
      <c r="AF133" s="74" t="s">
        <v>1822</v>
      </c>
      <c r="AG133">
        <v>2335</v>
      </c>
      <c r="AH133">
        <v>111</v>
      </c>
      <c r="AI133">
        <v>796</v>
      </c>
      <c r="AJ133">
        <v>0</v>
      </c>
      <c r="AK133">
        <v>33</v>
      </c>
      <c r="AL133">
        <v>102</v>
      </c>
      <c r="AM133" t="b">
        <v>0</v>
      </c>
      <c r="AN133" s="73">
        <v>42475.157314814816</v>
      </c>
      <c r="AO133" t="s">
        <v>1940</v>
      </c>
      <c r="AP133" t="s">
        <v>2079</v>
      </c>
      <c r="AY133" t="b">
        <v>0</v>
      </c>
      <c r="BB133" t="b">
        <v>0</v>
      </c>
      <c r="BC133" t="b">
        <v>1</v>
      </c>
      <c r="BD133" t="b">
        <v>0</v>
      </c>
      <c r="BE133" t="b">
        <v>0</v>
      </c>
      <c r="BF133" t="b">
        <v>0</v>
      </c>
      <c r="BG133" t="b">
        <v>0</v>
      </c>
      <c r="BH133" t="b">
        <v>0</v>
      </c>
      <c r="BI133" s="76" t="str">
        <f>HYPERLINK("https://pbs.twimg.com/profile_banners/720820576571404288/1598078899")</f>
        <v>https://pbs.twimg.com/profile_banners/720820576571404288/1598078899</v>
      </c>
      <c r="BK133" t="s">
        <v>2343</v>
      </c>
      <c r="BL133" t="b">
        <v>0</v>
      </c>
      <c r="BN133" t="s">
        <v>65</v>
      </c>
      <c r="BO133" t="s">
        <v>2345</v>
      </c>
      <c r="BP133" s="76" t="str">
        <f>HYPERLINK("https://twitter.com/amien__rais")</f>
        <v>https://twitter.com/amien__rais</v>
      </c>
      <c r="BQ133" s="44"/>
      <c r="BR133" s="44"/>
      <c r="BS133" s="44"/>
      <c r="BT133" s="44"/>
      <c r="BU133" s="44"/>
      <c r="BV133" s="44"/>
      <c r="BW133" s="44"/>
      <c r="BX133" s="44"/>
      <c r="BY133" s="44"/>
      <c r="BZ133" s="44"/>
      <c r="CA133" s="44"/>
      <c r="CB133" s="45"/>
      <c r="CC133" s="44"/>
      <c r="CD133" s="45"/>
      <c r="CE133" s="44"/>
      <c r="CF133" s="45"/>
      <c r="CG133" s="44"/>
      <c r="CH133" s="45"/>
      <c r="CI133" s="44"/>
      <c r="CJ133" s="112" t="str">
        <f>REPLACE(INDEX(GroupVertices[Group],MATCH("~"&amp;Vertices[[#This Row],[Vertex]],GroupVertices[Vertex],0)),1,1,"")</f>
        <v>7</v>
      </c>
      <c r="CK133" s="44"/>
      <c r="CL133" s="44"/>
      <c r="CM133" s="44"/>
      <c r="CN133" s="44"/>
      <c r="CO133" s="2"/>
    </row>
    <row r="134" spans="1:93" ht="41.45" customHeight="1">
      <c r="A134" s="59" t="s">
        <v>364</v>
      </c>
      <c r="C134" s="125"/>
      <c r="D134" s="60" t="s">
        <v>64</v>
      </c>
      <c r="E134" s="129">
        <v>1.5</v>
      </c>
      <c r="F134" s="124"/>
      <c r="G134" s="92" t="str">
        <f>HYPERLINK("https://pbs.twimg.com/profile_images/1406252297185685511/kNjRd7J3_normal.jpg")</f>
        <v>https://pbs.twimg.com/profile_images/1406252297185685511/kNjRd7J3_normal.jpg</v>
      </c>
      <c r="H134" s="125"/>
      <c r="I134" s="64" t="str">
        <f>Vertices[[#This Row],[Vertex]]</f>
        <v>ummat_kotadepok</v>
      </c>
      <c r="J134" s="126"/>
      <c r="K134" s="126"/>
      <c r="L134" s="130"/>
      <c r="M134" s="127"/>
      <c r="N134" s="131">
        <v>5089.96630859375</v>
      </c>
      <c r="O134" s="131">
        <v>5112.1015625</v>
      </c>
      <c r="P134" s="132"/>
      <c r="Q134" s="133"/>
      <c r="R134" s="133"/>
      <c r="S134" s="134"/>
      <c r="T134" s="44">
        <v>1</v>
      </c>
      <c r="U134" s="44">
        <v>0</v>
      </c>
      <c r="V134" s="45">
        <v>0</v>
      </c>
      <c r="W134" s="45">
        <v>0.0204</v>
      </c>
      <c r="X134" s="45">
        <v>0</v>
      </c>
      <c r="Y134" s="45">
        <v>0.003408</v>
      </c>
      <c r="Z134" s="45">
        <v>0</v>
      </c>
      <c r="AA134" s="45">
        <v>0</v>
      </c>
      <c r="AB134" s="135">
        <v>134</v>
      </c>
      <c r="AC13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4" s="67"/>
      <c r="AE134" t="s">
        <v>1594</v>
      </c>
      <c r="AF134" s="74" t="s">
        <v>1816</v>
      </c>
      <c r="AG134">
        <v>698</v>
      </c>
      <c r="AH134">
        <v>132</v>
      </c>
      <c r="AI134">
        <v>415</v>
      </c>
      <c r="AJ134">
        <v>1</v>
      </c>
      <c r="AK134">
        <v>138</v>
      </c>
      <c r="AL134">
        <v>111</v>
      </c>
      <c r="AM134" t="b">
        <v>0</v>
      </c>
      <c r="AN134" s="73">
        <v>44324.199155092596</v>
      </c>
      <c r="AO134" s="76" t="str">
        <f>HYPERLINK("https://goo.gl/maps/Cp5hVqmuWC")</f>
        <v>https://goo.gl/maps/Cp5hVqmuWC</v>
      </c>
      <c r="AP134" t="s">
        <v>2073</v>
      </c>
      <c r="AY134" t="b">
        <v>0</v>
      </c>
      <c r="BB134" t="b">
        <v>1</v>
      </c>
      <c r="BC134" t="b">
        <v>1</v>
      </c>
      <c r="BD134" t="b">
        <v>1</v>
      </c>
      <c r="BE134" t="b">
        <v>0</v>
      </c>
      <c r="BF134" t="b">
        <v>0</v>
      </c>
      <c r="BG134" t="b">
        <v>0</v>
      </c>
      <c r="BH134" t="b">
        <v>0</v>
      </c>
      <c r="BI134" s="76" t="str">
        <f>HYPERLINK("https://pbs.twimg.com/profile_banners/1390890588539555842/1644135366")</f>
        <v>https://pbs.twimg.com/profile_banners/1390890588539555842/1644135366</v>
      </c>
      <c r="BK134" t="s">
        <v>2343</v>
      </c>
      <c r="BL134" t="b">
        <v>0</v>
      </c>
      <c r="BN134" t="s">
        <v>65</v>
      </c>
      <c r="BO134" t="s">
        <v>2345</v>
      </c>
      <c r="BP134" s="76" t="str">
        <f>HYPERLINK("https://twitter.com/ummat_kotadepok")</f>
        <v>https://twitter.com/ummat_kotadepok</v>
      </c>
      <c r="BQ134" s="44"/>
      <c r="BR134" s="44"/>
      <c r="BS134" s="44"/>
      <c r="BT134" s="44"/>
      <c r="BU134" s="44"/>
      <c r="BV134" s="44"/>
      <c r="BW134" s="44"/>
      <c r="BX134" s="44"/>
      <c r="BY134" s="44"/>
      <c r="BZ134" s="44"/>
      <c r="CA134" s="44"/>
      <c r="CB134" s="45"/>
      <c r="CC134" s="44"/>
      <c r="CD134" s="45"/>
      <c r="CE134" s="44"/>
      <c r="CF134" s="45"/>
      <c r="CG134" s="44"/>
      <c r="CH134" s="45"/>
      <c r="CI134" s="44"/>
      <c r="CJ134" s="112" t="str">
        <f>REPLACE(INDEX(GroupVertices[Group],MATCH("~"&amp;Vertices[[#This Row],[Vertex]],GroupVertices[Vertex],0)),1,1,"")</f>
        <v>7</v>
      </c>
      <c r="CK134" s="44"/>
      <c r="CL134" s="44"/>
      <c r="CM134" s="44"/>
      <c r="CN134" s="44"/>
      <c r="CO134" s="2"/>
    </row>
    <row r="135" spans="1:93" ht="41.45" customHeight="1">
      <c r="A135" s="59" t="s">
        <v>366</v>
      </c>
      <c r="C135" s="60"/>
      <c r="D135" s="60" t="s">
        <v>64</v>
      </c>
      <c r="E135" s="61">
        <v>1.5</v>
      </c>
      <c r="F135" s="63"/>
      <c r="G135" s="92" t="str">
        <f>HYPERLINK("https://pbs.twimg.com/profile_images/1471761938728161285/U3s0xA7X_normal.jpg")</f>
        <v>https://pbs.twimg.com/profile_images/1471761938728161285/U3s0xA7X_normal.jpg</v>
      </c>
      <c r="H135" s="60"/>
      <c r="I135" s="64" t="str">
        <f>Vertices[[#This Row],[Vertex]]</f>
        <v>dppgardaummat</v>
      </c>
      <c r="J135" s="65"/>
      <c r="K135" s="65"/>
      <c r="L135" s="64"/>
      <c r="M135" s="68"/>
      <c r="N135" s="69">
        <v>4833.560546875</v>
      </c>
      <c r="O135" s="69">
        <v>7307.35009765625</v>
      </c>
      <c r="P135" s="70"/>
      <c r="Q135" s="71"/>
      <c r="R135" s="71"/>
      <c r="S135" s="78"/>
      <c r="T135" s="44">
        <v>1</v>
      </c>
      <c r="U135" s="44">
        <v>0</v>
      </c>
      <c r="V135" s="45">
        <v>0</v>
      </c>
      <c r="W135" s="45">
        <v>0.0204</v>
      </c>
      <c r="X135" s="45">
        <v>0</v>
      </c>
      <c r="Y135" s="45">
        <v>0.003408</v>
      </c>
      <c r="Z135" s="45">
        <v>0</v>
      </c>
      <c r="AA135" s="45">
        <v>0</v>
      </c>
      <c r="AB135" s="66">
        <v>135</v>
      </c>
      <c r="AC1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5" s="67"/>
      <c r="AE135" t="s">
        <v>1596</v>
      </c>
      <c r="AF135" s="74" t="s">
        <v>1818</v>
      </c>
      <c r="AG135">
        <v>194</v>
      </c>
      <c r="AH135">
        <v>22</v>
      </c>
      <c r="AI135">
        <v>12</v>
      </c>
      <c r="AJ135">
        <v>1</v>
      </c>
      <c r="AK135">
        <v>2</v>
      </c>
      <c r="AL135">
        <v>11</v>
      </c>
      <c r="AM135" t="b">
        <v>0</v>
      </c>
      <c r="AN135" s="73">
        <v>44547.27773148148</v>
      </c>
      <c r="AO135" t="s">
        <v>1942</v>
      </c>
      <c r="AP135" t="s">
        <v>2075</v>
      </c>
      <c r="AY135" t="b">
        <v>0</v>
      </c>
      <c r="BB135" t="b">
        <v>0</v>
      </c>
      <c r="BC135" t="b">
        <v>1</v>
      </c>
      <c r="BD135" t="b">
        <v>1</v>
      </c>
      <c r="BE135" t="b">
        <v>0</v>
      </c>
      <c r="BF135" t="b">
        <v>0</v>
      </c>
      <c r="BG135" t="b">
        <v>0</v>
      </c>
      <c r="BH135" t="b">
        <v>0</v>
      </c>
      <c r="BI135" s="76" t="str">
        <f>HYPERLINK("https://pbs.twimg.com/profile_banners/1471731813034823690/1639730510")</f>
        <v>https://pbs.twimg.com/profile_banners/1471731813034823690/1639730510</v>
      </c>
      <c r="BK135" t="s">
        <v>2343</v>
      </c>
      <c r="BL135" t="b">
        <v>0</v>
      </c>
      <c r="BN135" t="s">
        <v>65</v>
      </c>
      <c r="BO135" t="s">
        <v>2345</v>
      </c>
      <c r="BP135" s="76" t="str">
        <f>HYPERLINK("https://twitter.com/dppgardaummat")</f>
        <v>https://twitter.com/dppgardaummat</v>
      </c>
      <c r="BQ135" s="44"/>
      <c r="BR135" s="44"/>
      <c r="BS135" s="44"/>
      <c r="BT135" s="44"/>
      <c r="BU135" s="44"/>
      <c r="BV135" s="44"/>
      <c r="BW135" s="44"/>
      <c r="BX135" s="44"/>
      <c r="BY135" s="44"/>
      <c r="BZ135" s="44"/>
      <c r="CA135" s="44"/>
      <c r="CB135" s="45"/>
      <c r="CC135" s="44"/>
      <c r="CD135" s="45"/>
      <c r="CE135" s="44"/>
      <c r="CF135" s="45"/>
      <c r="CG135" s="44"/>
      <c r="CH135" s="45"/>
      <c r="CI135" s="44"/>
      <c r="CJ135" s="112" t="str">
        <f>REPLACE(INDEX(GroupVertices[Group],MATCH("~"&amp;Vertices[[#This Row],[Vertex]],GroupVertices[Vertex],0)),1,1,"")</f>
        <v>7</v>
      </c>
      <c r="CK135" s="44"/>
      <c r="CL135" s="44"/>
      <c r="CM135" s="44"/>
      <c r="CN135" s="44"/>
      <c r="CO135" s="2"/>
    </row>
    <row r="136" spans="1:93" ht="41.45" customHeight="1">
      <c r="A136" s="59" t="s">
        <v>368</v>
      </c>
      <c r="C136" s="60"/>
      <c r="D136" s="60" t="s">
        <v>64</v>
      </c>
      <c r="E136" s="61">
        <v>1.5</v>
      </c>
      <c r="F136" s="63"/>
      <c r="G136" s="92" t="str">
        <f>HYPERLINK("https://pbs.twimg.com/profile_images/812103134638063617/j0xa9hcn_normal.jpg")</f>
        <v>https://pbs.twimg.com/profile_images/812103134638063617/j0xa9hcn_normal.jpg</v>
      </c>
      <c r="H136" s="60"/>
      <c r="I136" s="64" t="str">
        <f>Vertices[[#This Row],[Vertex]]</f>
        <v>buniyani1</v>
      </c>
      <c r="J136" s="65"/>
      <c r="K136" s="65"/>
      <c r="L136" s="64"/>
      <c r="M136" s="68"/>
      <c r="N136" s="69">
        <v>5470.541015625</v>
      </c>
      <c r="O136" s="69">
        <v>7588.6484375</v>
      </c>
      <c r="P136" s="70"/>
      <c r="Q136" s="71"/>
      <c r="R136" s="71"/>
      <c r="S136" s="78"/>
      <c r="T136" s="44">
        <v>1</v>
      </c>
      <c r="U136" s="44">
        <v>0</v>
      </c>
      <c r="V136" s="45">
        <v>0</v>
      </c>
      <c r="W136" s="45">
        <v>0.0204</v>
      </c>
      <c r="X136" s="45">
        <v>0</v>
      </c>
      <c r="Y136" s="45">
        <v>0.003408</v>
      </c>
      <c r="Z136" s="45">
        <v>0</v>
      </c>
      <c r="AA136" s="45">
        <v>0</v>
      </c>
      <c r="AB136" s="66">
        <v>136</v>
      </c>
      <c r="AC1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6" s="67"/>
      <c r="AE136" t="s">
        <v>1598</v>
      </c>
      <c r="AF136" s="74" t="s">
        <v>1820</v>
      </c>
      <c r="AG136">
        <v>68</v>
      </c>
      <c r="AH136">
        <v>0</v>
      </c>
      <c r="AI136">
        <v>21</v>
      </c>
      <c r="AJ136">
        <v>0</v>
      </c>
      <c r="AK136">
        <v>0</v>
      </c>
      <c r="AL136">
        <v>0</v>
      </c>
      <c r="AM136" t="b">
        <v>0</v>
      </c>
      <c r="AN136" s="73">
        <v>42723.306608796294</v>
      </c>
      <c r="AP136" t="s">
        <v>2077</v>
      </c>
      <c r="AY136" t="b">
        <v>0</v>
      </c>
      <c r="BB136" t="b">
        <v>0</v>
      </c>
      <c r="BC136" t="b">
        <v>1</v>
      </c>
      <c r="BD136" t="b">
        <v>1</v>
      </c>
      <c r="BE136" t="b">
        <v>0</v>
      </c>
      <c r="BF136" t="b">
        <v>0</v>
      </c>
      <c r="BG136" t="b">
        <v>0</v>
      </c>
      <c r="BH136" t="b">
        <v>0</v>
      </c>
      <c r="BK136" t="s">
        <v>2343</v>
      </c>
      <c r="BL136" t="b">
        <v>0</v>
      </c>
      <c r="BN136" t="s">
        <v>65</v>
      </c>
      <c r="BO136" t="s">
        <v>2345</v>
      </c>
      <c r="BP136" s="76" t="str">
        <f>HYPERLINK("https://twitter.com/buniyani1")</f>
        <v>https://twitter.com/buniyani1</v>
      </c>
      <c r="BQ136" s="44"/>
      <c r="BR136" s="44"/>
      <c r="BS136" s="44"/>
      <c r="BT136" s="44"/>
      <c r="BU136" s="44"/>
      <c r="BV136" s="44"/>
      <c r="BW136" s="44"/>
      <c r="BX136" s="44"/>
      <c r="BY136" s="44"/>
      <c r="BZ136" s="44"/>
      <c r="CA136" s="44"/>
      <c r="CB136" s="45"/>
      <c r="CC136" s="44"/>
      <c r="CD136" s="45"/>
      <c r="CE136" s="44"/>
      <c r="CF136" s="45"/>
      <c r="CG136" s="44"/>
      <c r="CH136" s="45"/>
      <c r="CI136" s="44"/>
      <c r="CJ136" s="112" t="str">
        <f>REPLACE(INDEX(GroupVertices[Group],MATCH("~"&amp;Vertices[[#This Row],[Vertex]],GroupVertices[Vertex],0)),1,1,"")</f>
        <v>7</v>
      </c>
      <c r="CK136" s="44"/>
      <c r="CL136" s="44"/>
      <c r="CM136" s="44"/>
      <c r="CN136" s="44"/>
      <c r="CO136" s="2"/>
    </row>
    <row r="137" spans="1:93" ht="41.45" customHeight="1">
      <c r="A137" s="59" t="s">
        <v>475</v>
      </c>
      <c r="C137" s="60"/>
      <c r="D137" s="60" t="s">
        <v>64</v>
      </c>
      <c r="E137" s="61">
        <v>1.5</v>
      </c>
      <c r="F137" s="63"/>
      <c r="G137" s="92" t="str">
        <f>HYPERLINK("https://pbs.twimg.com/profile_images/1664484393824710657/rvP8J4ox_normal.jpg")</f>
        <v>https://pbs.twimg.com/profile_images/1664484393824710657/rvP8J4ox_normal.jpg</v>
      </c>
      <c r="H137" s="60"/>
      <c r="I137" s="64" t="str">
        <f>Vertices[[#This Row],[Vertex]]</f>
        <v>syafniir</v>
      </c>
      <c r="J137" s="65"/>
      <c r="K137" s="65"/>
      <c r="L137" s="64"/>
      <c r="M137" s="68"/>
      <c r="N137" s="69">
        <v>7078.01318359375</v>
      </c>
      <c r="O137" s="69">
        <v>675.611572265625</v>
      </c>
      <c r="P137" s="70"/>
      <c r="Q137" s="71"/>
      <c r="R137" s="71"/>
      <c r="S137" s="78"/>
      <c r="T137" s="44">
        <v>1</v>
      </c>
      <c r="U137" s="44">
        <v>0</v>
      </c>
      <c r="V137" s="45">
        <v>0</v>
      </c>
      <c r="W137" s="45">
        <v>0.012685</v>
      </c>
      <c r="X137" s="45">
        <v>0</v>
      </c>
      <c r="Y137" s="45">
        <v>0.003441</v>
      </c>
      <c r="Z137" s="45">
        <v>0</v>
      </c>
      <c r="AA137" s="45">
        <v>0</v>
      </c>
      <c r="AB137" s="66">
        <v>137</v>
      </c>
      <c r="AC1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7" s="67"/>
      <c r="AE137" t="s">
        <v>1765</v>
      </c>
      <c r="AF137" s="74" t="s">
        <v>1380</v>
      </c>
      <c r="AG137">
        <v>23553</v>
      </c>
      <c r="AH137">
        <v>17089</v>
      </c>
      <c r="AI137">
        <v>29252</v>
      </c>
      <c r="AJ137">
        <v>5</v>
      </c>
      <c r="AK137">
        <v>54133</v>
      </c>
      <c r="AL137">
        <v>1175</v>
      </c>
      <c r="AM137" t="b">
        <v>0</v>
      </c>
      <c r="AN137" s="73">
        <v>44099.62228009259</v>
      </c>
      <c r="AP137" t="s">
        <v>2229</v>
      </c>
      <c r="AY137" t="b">
        <v>0</v>
      </c>
      <c r="BB137" t="b">
        <v>0</v>
      </c>
      <c r="BC137" t="b">
        <v>1</v>
      </c>
      <c r="BD137" t="b">
        <v>1</v>
      </c>
      <c r="BE137" t="b">
        <v>0</v>
      </c>
      <c r="BF137" t="b">
        <v>1</v>
      </c>
      <c r="BG137" t="b">
        <v>0</v>
      </c>
      <c r="BH137" t="b">
        <v>0</v>
      </c>
      <c r="BI137" s="76" t="str">
        <f>HYPERLINK("https://pbs.twimg.com/profile_banners/1309506896294866950/1635083633")</f>
        <v>https://pbs.twimg.com/profile_banners/1309506896294866950/1635083633</v>
      </c>
      <c r="BK137" t="s">
        <v>2343</v>
      </c>
      <c r="BL137" t="b">
        <v>0</v>
      </c>
      <c r="BN137" t="s">
        <v>65</v>
      </c>
      <c r="BO137" t="s">
        <v>2345</v>
      </c>
      <c r="BP137" s="76" t="str">
        <f>HYPERLINK("https://twitter.com/syafniir")</f>
        <v>https://twitter.com/syafniir</v>
      </c>
      <c r="BQ137" s="44"/>
      <c r="BR137" s="44"/>
      <c r="BS137" s="44"/>
      <c r="BT137" s="44"/>
      <c r="BU137" s="44"/>
      <c r="BV137" s="44"/>
      <c r="BW137" s="44"/>
      <c r="BX137" s="44"/>
      <c r="BY137" s="44"/>
      <c r="BZ137" s="44"/>
      <c r="CA137" s="44"/>
      <c r="CB137" s="45"/>
      <c r="CC137" s="44"/>
      <c r="CD137" s="45"/>
      <c r="CE137" s="44"/>
      <c r="CF137" s="45"/>
      <c r="CG137" s="44"/>
      <c r="CH137" s="45"/>
      <c r="CI137" s="44"/>
      <c r="CJ137" s="112" t="str">
        <f>REPLACE(INDEX(GroupVertices[Group],MATCH("~"&amp;Vertices[[#This Row],[Vertex]],GroupVertices[Vertex],0)),1,1,"")</f>
        <v>14</v>
      </c>
      <c r="CK137" s="44"/>
      <c r="CL137" s="44"/>
      <c r="CM137" s="44"/>
      <c r="CN137" s="44"/>
      <c r="CO137" s="2"/>
    </row>
    <row r="138" spans="1:93" ht="41.45" customHeight="1">
      <c r="A138" s="59" t="s">
        <v>471</v>
      </c>
      <c r="C138" s="60"/>
      <c r="D138" s="60" t="s">
        <v>64</v>
      </c>
      <c r="E138" s="61">
        <v>1.5</v>
      </c>
      <c r="F138" s="63"/>
      <c r="G138" s="92" t="str">
        <f>HYPERLINK("https://pbs.twimg.com/profile_images/1728355812299665408/cxB0QsMa_normal.jpg")</f>
        <v>https://pbs.twimg.com/profile_images/1728355812299665408/cxB0QsMa_normal.jpg</v>
      </c>
      <c r="H138" s="60"/>
      <c r="I138" s="64" t="str">
        <f>Vertices[[#This Row],[Vertex]]</f>
        <v>jul3arhma3</v>
      </c>
      <c r="J138" s="65"/>
      <c r="K138" s="65"/>
      <c r="L138" s="64"/>
      <c r="M138" s="68"/>
      <c r="N138" s="69">
        <v>6741.029296875</v>
      </c>
      <c r="O138" s="69">
        <v>1013.331787109375</v>
      </c>
      <c r="P138" s="70"/>
      <c r="Q138" s="71"/>
      <c r="R138" s="71"/>
      <c r="S138" s="78"/>
      <c r="T138" s="44">
        <v>1</v>
      </c>
      <c r="U138" s="44">
        <v>0</v>
      </c>
      <c r="V138" s="45">
        <v>0</v>
      </c>
      <c r="W138" s="45">
        <v>0.012685</v>
      </c>
      <c r="X138" s="45">
        <v>0</v>
      </c>
      <c r="Y138" s="45">
        <v>0.003441</v>
      </c>
      <c r="Z138" s="45">
        <v>0</v>
      </c>
      <c r="AA138" s="45">
        <v>0</v>
      </c>
      <c r="AB138" s="66">
        <v>138</v>
      </c>
      <c r="AC1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8" s="67"/>
      <c r="AE138" t="s">
        <v>1761</v>
      </c>
      <c r="AF138" s="74" t="s">
        <v>1908</v>
      </c>
      <c r="AG138">
        <v>19798</v>
      </c>
      <c r="AH138">
        <v>8646</v>
      </c>
      <c r="AI138">
        <v>24600</v>
      </c>
      <c r="AJ138">
        <v>3</v>
      </c>
      <c r="AK138">
        <v>18963</v>
      </c>
      <c r="AL138">
        <v>1694</v>
      </c>
      <c r="AM138" t="b">
        <v>0</v>
      </c>
      <c r="AN138" s="73">
        <v>43602.411828703705</v>
      </c>
      <c r="AO138" t="s">
        <v>2007</v>
      </c>
      <c r="AP138" t="s">
        <v>2226</v>
      </c>
      <c r="AY138" t="b">
        <v>0</v>
      </c>
      <c r="BB138" t="b">
        <v>0</v>
      </c>
      <c r="BC138" t="b">
        <v>0</v>
      </c>
      <c r="BD138" t="b">
        <v>1</v>
      </c>
      <c r="BE138" t="b">
        <v>0</v>
      </c>
      <c r="BF138" t="b">
        <v>1</v>
      </c>
      <c r="BG138" t="b">
        <v>0</v>
      </c>
      <c r="BH138" t="b">
        <v>0</v>
      </c>
      <c r="BI138" s="76" t="str">
        <f>HYPERLINK("https://pbs.twimg.com/profile_banners/1129323932622905344/1657035739")</f>
        <v>https://pbs.twimg.com/profile_banners/1129323932622905344/1657035739</v>
      </c>
      <c r="BK138" t="s">
        <v>2343</v>
      </c>
      <c r="BL138" t="b">
        <v>0</v>
      </c>
      <c r="BN138" t="s">
        <v>65</v>
      </c>
      <c r="BO138" t="s">
        <v>2345</v>
      </c>
      <c r="BP138" s="76" t="str">
        <f>HYPERLINK("https://twitter.com/jul3arhma3")</f>
        <v>https://twitter.com/jul3arhma3</v>
      </c>
      <c r="BQ138" s="44"/>
      <c r="BR138" s="44"/>
      <c r="BS138" s="44"/>
      <c r="BT138" s="44"/>
      <c r="BU138" s="44"/>
      <c r="BV138" s="44"/>
      <c r="BW138" s="44"/>
      <c r="BX138" s="44"/>
      <c r="BY138" s="44"/>
      <c r="BZ138" s="44"/>
      <c r="CA138" s="44"/>
      <c r="CB138" s="45"/>
      <c r="CC138" s="44"/>
      <c r="CD138" s="45"/>
      <c r="CE138" s="44"/>
      <c r="CF138" s="45"/>
      <c r="CG138" s="44"/>
      <c r="CH138" s="45"/>
      <c r="CI138" s="44"/>
      <c r="CJ138" s="112" t="str">
        <f>REPLACE(INDEX(GroupVertices[Group],MATCH("~"&amp;Vertices[[#This Row],[Vertex]],GroupVertices[Vertex],0)),1,1,"")</f>
        <v>14</v>
      </c>
      <c r="CK138" s="44"/>
      <c r="CL138" s="44"/>
      <c r="CM138" s="44"/>
      <c r="CN138" s="44"/>
      <c r="CO138" s="2"/>
    </row>
    <row r="139" spans="1:93" ht="41.45" customHeight="1">
      <c r="A139" s="59" t="s">
        <v>470</v>
      </c>
      <c r="C139" s="60"/>
      <c r="D139" s="60" t="s">
        <v>64</v>
      </c>
      <c r="E139" s="61">
        <v>1.5</v>
      </c>
      <c r="F139" s="63"/>
      <c r="G139" s="92" t="str">
        <f>HYPERLINK("https://pbs.twimg.com/profile_images/1716286154046345216/zHEeECNC_normal.jpg")</f>
        <v>https://pbs.twimg.com/profile_images/1716286154046345216/zHEeECNC_normal.jpg</v>
      </c>
      <c r="H139" s="60"/>
      <c r="I139" s="64" t="str">
        <f>Vertices[[#This Row],[Vertex]]</f>
        <v>argentianaa</v>
      </c>
      <c r="J139" s="65"/>
      <c r="K139" s="65"/>
      <c r="L139" s="64"/>
      <c r="M139" s="68"/>
      <c r="N139" s="69">
        <v>6658.857421875</v>
      </c>
      <c r="O139" s="69">
        <v>2160.0263671875</v>
      </c>
      <c r="P139" s="70"/>
      <c r="Q139" s="71"/>
      <c r="R139" s="71"/>
      <c r="S139" s="78"/>
      <c r="T139" s="44">
        <v>1</v>
      </c>
      <c r="U139" s="44">
        <v>0</v>
      </c>
      <c r="V139" s="45">
        <v>0</v>
      </c>
      <c r="W139" s="45">
        <v>0.012685</v>
      </c>
      <c r="X139" s="45">
        <v>0</v>
      </c>
      <c r="Y139" s="45">
        <v>0.003441</v>
      </c>
      <c r="Z139" s="45">
        <v>0</v>
      </c>
      <c r="AA139" s="45">
        <v>0</v>
      </c>
      <c r="AB139" s="66">
        <v>139</v>
      </c>
      <c r="AC1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9" s="67"/>
      <c r="AE139" t="s">
        <v>1760</v>
      </c>
      <c r="AF139" s="74" t="s">
        <v>1907</v>
      </c>
      <c r="AG139">
        <v>15522</v>
      </c>
      <c r="AH139">
        <v>2791</v>
      </c>
      <c r="AI139">
        <v>329633</v>
      </c>
      <c r="AJ139">
        <v>3</v>
      </c>
      <c r="AK139">
        <v>10333</v>
      </c>
      <c r="AL139">
        <v>22258</v>
      </c>
      <c r="AM139" t="b">
        <v>0</v>
      </c>
      <c r="AN139" s="73">
        <v>43612.646203703705</v>
      </c>
      <c r="AO139" t="s">
        <v>2006</v>
      </c>
      <c r="AP139" t="s">
        <v>2225</v>
      </c>
      <c r="AW139">
        <v>1.60938218100427E+18</v>
      </c>
      <c r="AY139" t="b">
        <v>0</v>
      </c>
      <c r="BB139" t="b">
        <v>1</v>
      </c>
      <c r="BC139" t="b">
        <v>0</v>
      </c>
      <c r="BD139" t="b">
        <v>1</v>
      </c>
      <c r="BE139" t="b">
        <v>0</v>
      </c>
      <c r="BF139" t="b">
        <v>1</v>
      </c>
      <c r="BG139" t="b">
        <v>0</v>
      </c>
      <c r="BH139" t="b">
        <v>0</v>
      </c>
      <c r="BI139" s="76" t="str">
        <f>HYPERLINK("https://pbs.twimg.com/profile_banners/1133032747847507968/1698632165")</f>
        <v>https://pbs.twimg.com/profile_banners/1133032747847507968/1698632165</v>
      </c>
      <c r="BK139" t="s">
        <v>2343</v>
      </c>
      <c r="BL139" t="b">
        <v>0</v>
      </c>
      <c r="BN139" t="s">
        <v>65</v>
      </c>
      <c r="BO139" t="s">
        <v>2345</v>
      </c>
      <c r="BP139" s="76" t="str">
        <f>HYPERLINK("https://twitter.com/argentianaa")</f>
        <v>https://twitter.com/argentianaa</v>
      </c>
      <c r="BQ139" s="44"/>
      <c r="BR139" s="44"/>
      <c r="BS139" s="44"/>
      <c r="BT139" s="44"/>
      <c r="BU139" s="44"/>
      <c r="BV139" s="44"/>
      <c r="BW139" s="44"/>
      <c r="BX139" s="44"/>
      <c r="BY139" s="44"/>
      <c r="BZ139" s="44"/>
      <c r="CA139" s="44"/>
      <c r="CB139" s="45"/>
      <c r="CC139" s="44"/>
      <c r="CD139" s="45"/>
      <c r="CE139" s="44"/>
      <c r="CF139" s="45"/>
      <c r="CG139" s="44"/>
      <c r="CH139" s="45"/>
      <c r="CI139" s="44"/>
      <c r="CJ139" s="112" t="str">
        <f>REPLACE(INDEX(GroupVertices[Group],MATCH("~"&amp;Vertices[[#This Row],[Vertex]],GroupVertices[Vertex],0)),1,1,"")</f>
        <v>14</v>
      </c>
      <c r="CK139" s="44"/>
      <c r="CL139" s="44"/>
      <c r="CM139" s="44"/>
      <c r="CN139" s="44"/>
      <c r="CO139" s="2"/>
    </row>
    <row r="140" spans="1:93" ht="41.45" customHeight="1">
      <c r="A140" s="59" t="s">
        <v>473</v>
      </c>
      <c r="C140" s="60"/>
      <c r="D140" s="60" t="s">
        <v>64</v>
      </c>
      <c r="E140" s="61">
        <v>1.5</v>
      </c>
      <c r="F140" s="63"/>
      <c r="G140" s="92" t="str">
        <f>HYPERLINK("https://pbs.twimg.com/profile_images/1626114810105692160/3oUXQVlz_normal.jpg")</f>
        <v>https://pbs.twimg.com/profile_images/1626114810105692160/3oUXQVlz_normal.jpg</v>
      </c>
      <c r="H140" s="60"/>
      <c r="I140" s="64" t="str">
        <f>Vertices[[#This Row],[Vertex]]</f>
        <v>bosradikal</v>
      </c>
      <c r="J140" s="65"/>
      <c r="K140" s="65"/>
      <c r="L140" s="64"/>
      <c r="M140" s="68"/>
      <c r="N140" s="69">
        <v>7251.44677734375</v>
      </c>
      <c r="O140" s="69">
        <v>2636.67626953125</v>
      </c>
      <c r="P140" s="70"/>
      <c r="Q140" s="71"/>
      <c r="R140" s="71"/>
      <c r="S140" s="78"/>
      <c r="T140" s="44">
        <v>1</v>
      </c>
      <c r="U140" s="44">
        <v>0</v>
      </c>
      <c r="V140" s="45">
        <v>0</v>
      </c>
      <c r="W140" s="45">
        <v>0.012685</v>
      </c>
      <c r="X140" s="45">
        <v>0</v>
      </c>
      <c r="Y140" s="45">
        <v>0.003441</v>
      </c>
      <c r="Z140" s="45">
        <v>0</v>
      </c>
      <c r="AA140" s="45">
        <v>0</v>
      </c>
      <c r="AB140" s="66">
        <v>140</v>
      </c>
      <c r="AC1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0" s="67"/>
      <c r="AE140" t="s">
        <v>1763</v>
      </c>
      <c r="AF140" s="74" t="s">
        <v>1910</v>
      </c>
      <c r="AG140">
        <v>3737</v>
      </c>
      <c r="AH140">
        <v>3421</v>
      </c>
      <c r="AI140">
        <v>1276</v>
      </c>
      <c r="AJ140">
        <v>0</v>
      </c>
      <c r="AK140">
        <v>2373</v>
      </c>
      <c r="AL140">
        <v>70</v>
      </c>
      <c r="AM140" t="b">
        <v>0</v>
      </c>
      <c r="AN140" s="73">
        <v>44395.21729166667</v>
      </c>
      <c r="AP140" t="s">
        <v>2227</v>
      </c>
      <c r="AY140" t="b">
        <v>0</v>
      </c>
      <c r="BB140" t="b">
        <v>0</v>
      </c>
      <c r="BC140" t="b">
        <v>1</v>
      </c>
      <c r="BD140" t="b">
        <v>1</v>
      </c>
      <c r="BE140" t="b">
        <v>0</v>
      </c>
      <c r="BF140" t="b">
        <v>0</v>
      </c>
      <c r="BG140" t="b">
        <v>0</v>
      </c>
      <c r="BH140" t="b">
        <v>0</v>
      </c>
      <c r="BI140" s="76" t="str">
        <f>HYPERLINK("https://pbs.twimg.com/profile_banners/1416625333822844930/1626604960")</f>
        <v>https://pbs.twimg.com/profile_banners/1416625333822844930/1626604960</v>
      </c>
      <c r="BK140" t="s">
        <v>2343</v>
      </c>
      <c r="BL140" t="b">
        <v>0</v>
      </c>
      <c r="BN140" t="s">
        <v>65</v>
      </c>
      <c r="BO140" t="s">
        <v>2345</v>
      </c>
      <c r="BP140" s="76" t="str">
        <f>HYPERLINK("https://twitter.com/bosradikal")</f>
        <v>https://twitter.com/bosradikal</v>
      </c>
      <c r="BQ140" s="44"/>
      <c r="BR140" s="44"/>
      <c r="BS140" s="44"/>
      <c r="BT140" s="44"/>
      <c r="BU140" s="44"/>
      <c r="BV140" s="44"/>
      <c r="BW140" s="44"/>
      <c r="BX140" s="44"/>
      <c r="BY140" s="44"/>
      <c r="BZ140" s="44"/>
      <c r="CA140" s="44"/>
      <c r="CB140" s="45"/>
      <c r="CC140" s="44"/>
      <c r="CD140" s="45"/>
      <c r="CE140" s="44"/>
      <c r="CF140" s="45"/>
      <c r="CG140" s="44"/>
      <c r="CH140" s="45"/>
      <c r="CI140" s="44"/>
      <c r="CJ140" s="112" t="str">
        <f>REPLACE(INDEX(GroupVertices[Group],MATCH("~"&amp;Vertices[[#This Row],[Vertex]],GroupVertices[Vertex],0)),1,1,"")</f>
        <v>14</v>
      </c>
      <c r="CK140" s="44"/>
      <c r="CL140" s="44"/>
      <c r="CM140" s="44"/>
      <c r="CN140" s="44"/>
      <c r="CO140" s="2"/>
    </row>
    <row r="141" spans="1:93" ht="41.45" customHeight="1">
      <c r="A141" s="59" t="s">
        <v>474</v>
      </c>
      <c r="C141" s="60"/>
      <c r="D141" s="60" t="s">
        <v>64</v>
      </c>
      <c r="E141" s="61">
        <v>1.5</v>
      </c>
      <c r="F141" s="63"/>
      <c r="G141" s="92" t="str">
        <f>HYPERLINK("https://pbs.twimg.com/profile_images/1475759943357583361/y3gIqjNt_normal.jpg")</f>
        <v>https://pbs.twimg.com/profile_images/1475759943357583361/y3gIqjNt_normal.jpg</v>
      </c>
      <c r="H141" s="60"/>
      <c r="I141" s="64" t="str">
        <f>Vertices[[#This Row],[Vertex]]</f>
        <v>eddyroyady</v>
      </c>
      <c r="J141" s="65"/>
      <c r="K141" s="65"/>
      <c r="L141" s="64"/>
      <c r="M141" s="68"/>
      <c r="N141" s="69">
        <v>7333.3076171875</v>
      </c>
      <c r="O141" s="69">
        <v>1488.234619140625</v>
      </c>
      <c r="P141" s="70"/>
      <c r="Q141" s="71"/>
      <c r="R141" s="71"/>
      <c r="S141" s="78"/>
      <c r="T141" s="44">
        <v>1</v>
      </c>
      <c r="U141" s="44">
        <v>0</v>
      </c>
      <c r="V141" s="45">
        <v>0</v>
      </c>
      <c r="W141" s="45">
        <v>0.012685</v>
      </c>
      <c r="X141" s="45">
        <v>0</v>
      </c>
      <c r="Y141" s="45">
        <v>0.003441</v>
      </c>
      <c r="Z141" s="45">
        <v>0</v>
      </c>
      <c r="AA141" s="45">
        <v>0</v>
      </c>
      <c r="AB141" s="66">
        <v>141</v>
      </c>
      <c r="AC1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1" s="67"/>
      <c r="AE141" t="s">
        <v>1764</v>
      </c>
      <c r="AF141" s="74" t="s">
        <v>1911</v>
      </c>
      <c r="AG141">
        <v>1726</v>
      </c>
      <c r="AH141">
        <v>0</v>
      </c>
      <c r="AI141">
        <v>7461</v>
      </c>
      <c r="AJ141">
        <v>0</v>
      </c>
      <c r="AK141">
        <v>8413</v>
      </c>
      <c r="AL141">
        <v>379</v>
      </c>
      <c r="AM141" t="b">
        <v>0</v>
      </c>
      <c r="AN141" s="73">
        <v>44198.18344907407</v>
      </c>
      <c r="AP141" t="s">
        <v>2228</v>
      </c>
      <c r="AW141">
        <v>1.42471498835932E+18</v>
      </c>
      <c r="AY141" t="b">
        <v>0</v>
      </c>
      <c r="BB141" t="b">
        <v>1</v>
      </c>
      <c r="BC141" t="b">
        <v>1</v>
      </c>
      <c r="BD141" t="b">
        <v>1</v>
      </c>
      <c r="BE141" t="b">
        <v>0</v>
      </c>
      <c r="BF141" t="b">
        <v>1</v>
      </c>
      <c r="BG141" t="b">
        <v>0</v>
      </c>
      <c r="BH141" t="b">
        <v>0</v>
      </c>
      <c r="BI141" s="76" t="str">
        <f>HYPERLINK("https://pbs.twimg.com/profile_banners/1345224294041673729/1619788918")</f>
        <v>https://pbs.twimg.com/profile_banners/1345224294041673729/1619788918</v>
      </c>
      <c r="BK141" t="s">
        <v>2343</v>
      </c>
      <c r="BL141" t="b">
        <v>0</v>
      </c>
      <c r="BN141" t="s">
        <v>65</v>
      </c>
      <c r="BO141" t="s">
        <v>2345</v>
      </c>
      <c r="BP141" s="76" t="str">
        <f>HYPERLINK("https://twitter.com/eddyroyady")</f>
        <v>https://twitter.com/eddyroyady</v>
      </c>
      <c r="BQ141" s="44"/>
      <c r="BR141" s="44"/>
      <c r="BS141" s="44"/>
      <c r="BT141" s="44"/>
      <c r="BU141" s="44"/>
      <c r="BV141" s="44"/>
      <c r="BW141" s="44"/>
      <c r="BX141" s="44"/>
      <c r="BY141" s="44"/>
      <c r="BZ141" s="44"/>
      <c r="CA141" s="44"/>
      <c r="CB141" s="45"/>
      <c r="CC141" s="44"/>
      <c r="CD141" s="45"/>
      <c r="CE141" s="44"/>
      <c r="CF141" s="45"/>
      <c r="CG141" s="44"/>
      <c r="CH141" s="45"/>
      <c r="CI141" s="44"/>
      <c r="CJ141" s="112" t="str">
        <f>REPLACE(INDEX(GroupVertices[Group],MATCH("~"&amp;Vertices[[#This Row],[Vertex]],GroupVertices[Vertex],0)),1,1,"")</f>
        <v>14</v>
      </c>
      <c r="CK141" s="44"/>
      <c r="CL141" s="44"/>
      <c r="CM141" s="44"/>
      <c r="CN141" s="44"/>
      <c r="CO141" s="2"/>
    </row>
    <row r="142" spans="1:93" ht="41.45" customHeight="1">
      <c r="A142" s="59" t="s">
        <v>472</v>
      </c>
      <c r="C142" s="60"/>
      <c r="D142" s="60" t="s">
        <v>64</v>
      </c>
      <c r="E142" s="61">
        <v>1.5</v>
      </c>
      <c r="F142" s="63"/>
      <c r="G142" s="92" t="str">
        <f>HYPERLINK("https://pbs.twimg.com/profile_images/1512448705919873030/zL8IzDGI_normal.jpg")</f>
        <v>https://pbs.twimg.com/profile_images/1512448705919873030/zL8IzDGI_normal.jpg</v>
      </c>
      <c r="H142" s="60"/>
      <c r="I142" s="64" t="str">
        <f>Vertices[[#This Row],[Vertex]]</f>
        <v>rayashanum1</v>
      </c>
      <c r="J142" s="65"/>
      <c r="K142" s="65"/>
      <c r="L142" s="64"/>
      <c r="M142" s="68"/>
      <c r="N142" s="69">
        <v>6913.46533203125</v>
      </c>
      <c r="O142" s="69">
        <v>2972.678955078125</v>
      </c>
      <c r="P142" s="70"/>
      <c r="Q142" s="71"/>
      <c r="R142" s="71"/>
      <c r="S142" s="78"/>
      <c r="T142" s="44">
        <v>1</v>
      </c>
      <c r="U142" s="44">
        <v>0</v>
      </c>
      <c r="V142" s="45">
        <v>0</v>
      </c>
      <c r="W142" s="45">
        <v>0.012685</v>
      </c>
      <c r="X142" s="45">
        <v>0</v>
      </c>
      <c r="Y142" s="45">
        <v>0.003441</v>
      </c>
      <c r="Z142" s="45">
        <v>0</v>
      </c>
      <c r="AA142" s="45">
        <v>0</v>
      </c>
      <c r="AB142" s="66">
        <v>142</v>
      </c>
      <c r="AC1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2" s="67"/>
      <c r="AE142" t="s">
        <v>1762</v>
      </c>
      <c r="AF142" s="74" t="s">
        <v>1909</v>
      </c>
      <c r="AG142">
        <v>53</v>
      </c>
      <c r="AH142">
        <v>60</v>
      </c>
      <c r="AI142">
        <v>16</v>
      </c>
      <c r="AJ142">
        <v>0</v>
      </c>
      <c r="AK142">
        <v>86</v>
      </c>
      <c r="AL142">
        <v>1</v>
      </c>
      <c r="AM142" t="b">
        <v>0</v>
      </c>
      <c r="AN142" s="73">
        <v>44571.59105324074</v>
      </c>
      <c r="AY142" t="b">
        <v>0</v>
      </c>
      <c r="BB142" t="b">
        <v>0</v>
      </c>
      <c r="BC142" t="b">
        <v>1</v>
      </c>
      <c r="BD142" t="b">
        <v>1</v>
      </c>
      <c r="BE142" t="b">
        <v>0</v>
      </c>
      <c r="BF142" t="b">
        <v>0</v>
      </c>
      <c r="BG142" t="b">
        <v>0</v>
      </c>
      <c r="BH142" t="b">
        <v>0</v>
      </c>
      <c r="BK142" t="s">
        <v>2343</v>
      </c>
      <c r="BL142" t="b">
        <v>0</v>
      </c>
      <c r="BN142" t="s">
        <v>65</v>
      </c>
      <c r="BO142" t="s">
        <v>2345</v>
      </c>
      <c r="BP142" s="76" t="str">
        <f>HYPERLINK("https://twitter.com/rayashanum1")</f>
        <v>https://twitter.com/rayashanum1</v>
      </c>
      <c r="BQ142" s="44"/>
      <c r="BR142" s="44"/>
      <c r="BS142" s="44"/>
      <c r="BT142" s="44"/>
      <c r="BU142" s="44"/>
      <c r="BV142" s="44"/>
      <c r="BW142" s="44"/>
      <c r="BX142" s="44"/>
      <c r="BY142" s="44"/>
      <c r="BZ142" s="44"/>
      <c r="CA142" s="44"/>
      <c r="CB142" s="45"/>
      <c r="CC142" s="44"/>
      <c r="CD142" s="45"/>
      <c r="CE142" s="44"/>
      <c r="CF142" s="45"/>
      <c r="CG142" s="44"/>
      <c r="CH142" s="45"/>
      <c r="CI142" s="44"/>
      <c r="CJ142" s="112" t="str">
        <f>REPLACE(INDEX(GroupVertices[Group],MATCH("~"&amp;Vertices[[#This Row],[Vertex]],GroupVertices[Vertex],0)),1,1,"")</f>
        <v>14</v>
      </c>
      <c r="CK142" s="44"/>
      <c r="CL142" s="44"/>
      <c r="CM142" s="44"/>
      <c r="CN142" s="44"/>
      <c r="CO142" s="2"/>
    </row>
    <row r="143" spans="1:93" ht="41.45" customHeight="1">
      <c r="A143" s="59" t="s">
        <v>399</v>
      </c>
      <c r="C143" s="60"/>
      <c r="D143" s="60" t="s">
        <v>64</v>
      </c>
      <c r="E143" s="61">
        <v>1.5</v>
      </c>
      <c r="F143" s="63"/>
      <c r="G143" s="92" t="str">
        <f>HYPERLINK("https://pbs.twimg.com/profile_images/1217467489128333312/f_NZLtxz_normal.jpg")</f>
        <v>https://pbs.twimg.com/profile_images/1217467489128333312/f_NZLtxz_normal.jpg</v>
      </c>
      <c r="H143" s="60"/>
      <c r="I143" s="64" t="str">
        <f>Vertices[[#This Row],[Vertex]]</f>
        <v>smartizen_</v>
      </c>
      <c r="J143" s="65"/>
      <c r="K143" s="65"/>
      <c r="L143" s="64"/>
      <c r="M143" s="68"/>
      <c r="N143" s="69">
        <v>6774.55615234375</v>
      </c>
      <c r="O143" s="69">
        <v>3648.28515625</v>
      </c>
      <c r="P143" s="70"/>
      <c r="Q143" s="71"/>
      <c r="R143" s="71"/>
      <c r="S143" s="78"/>
      <c r="T143" s="44">
        <v>1</v>
      </c>
      <c r="U143" s="44">
        <v>0</v>
      </c>
      <c r="V143" s="45">
        <v>0</v>
      </c>
      <c r="W143" s="45">
        <v>0.009302</v>
      </c>
      <c r="X143" s="45">
        <v>0</v>
      </c>
      <c r="Y143" s="45">
        <v>0.003502</v>
      </c>
      <c r="Z143" s="45">
        <v>0</v>
      </c>
      <c r="AA143" s="45">
        <v>0</v>
      </c>
      <c r="AB143" s="66">
        <v>143</v>
      </c>
      <c r="AC1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3" s="67"/>
      <c r="AE143" t="s">
        <v>1653</v>
      </c>
      <c r="AF143" s="74" t="s">
        <v>1357</v>
      </c>
      <c r="AG143">
        <v>1280</v>
      </c>
      <c r="AH143">
        <v>149</v>
      </c>
      <c r="AI143">
        <v>7416</v>
      </c>
      <c r="AJ143">
        <v>1</v>
      </c>
      <c r="AK143">
        <v>24</v>
      </c>
      <c r="AL143">
        <v>183</v>
      </c>
      <c r="AM143" t="b">
        <v>0</v>
      </c>
      <c r="AN143" s="73">
        <v>41858.61525462963</v>
      </c>
      <c r="AO143" t="s">
        <v>1970</v>
      </c>
      <c r="AP143" t="s">
        <v>2125</v>
      </c>
      <c r="AQ143" s="76" t="str">
        <f>HYPERLINK("https://t.co/d8z9Nq99Lc")</f>
        <v>https://t.co/d8z9Nq99Lc</v>
      </c>
      <c r="AR143" s="76" t="str">
        <f>HYPERLINK("http://www.islamtoday.id")</f>
        <v>http://www.islamtoday.id</v>
      </c>
      <c r="AS143" t="s">
        <v>2293</v>
      </c>
      <c r="AX143" s="76" t="str">
        <f>HYPERLINK("https://t.co/d8z9Nq99Lc")</f>
        <v>https://t.co/d8z9Nq99Lc</v>
      </c>
      <c r="AY143" t="b">
        <v>0</v>
      </c>
      <c r="BB143" t="b">
        <v>0</v>
      </c>
      <c r="BC143" t="b">
        <v>0</v>
      </c>
      <c r="BD143" t="b">
        <v>0</v>
      </c>
      <c r="BE143" t="b">
        <v>0</v>
      </c>
      <c r="BF143" t="b">
        <v>1</v>
      </c>
      <c r="BG143" t="b">
        <v>0</v>
      </c>
      <c r="BH143" t="b">
        <v>0</v>
      </c>
      <c r="BI143" s="76" t="str">
        <f>HYPERLINK("https://pbs.twimg.com/profile_banners/2714691272/1579101844")</f>
        <v>https://pbs.twimg.com/profile_banners/2714691272/1579101844</v>
      </c>
      <c r="BK143" t="s">
        <v>2343</v>
      </c>
      <c r="BL143" t="b">
        <v>0</v>
      </c>
      <c r="BN143" t="s">
        <v>65</v>
      </c>
      <c r="BO143" t="s">
        <v>2345</v>
      </c>
      <c r="BP143" s="76" t="str">
        <f>HYPERLINK("https://twitter.com/smartizen_")</f>
        <v>https://twitter.com/smartizen_</v>
      </c>
      <c r="BQ143" s="44"/>
      <c r="BR143" s="44"/>
      <c r="BS143" s="44"/>
      <c r="BT143" s="44"/>
      <c r="BU143" s="44"/>
      <c r="BV143" s="44"/>
      <c r="BW143" s="44"/>
      <c r="BX143" s="44"/>
      <c r="BY143" s="44"/>
      <c r="BZ143" s="44"/>
      <c r="CA143" s="44"/>
      <c r="CB143" s="45"/>
      <c r="CC143" s="44"/>
      <c r="CD143" s="45"/>
      <c r="CE143" s="44"/>
      <c r="CF143" s="45"/>
      <c r="CG143" s="44"/>
      <c r="CH143" s="45"/>
      <c r="CI143" s="44"/>
      <c r="CJ143" s="112" t="str">
        <f>REPLACE(INDEX(GroupVertices[Group],MATCH("~"&amp;Vertices[[#This Row],[Vertex]],GroupVertices[Vertex],0)),1,1,"")</f>
        <v>15</v>
      </c>
      <c r="CK143" s="44"/>
      <c r="CL143" s="44"/>
      <c r="CM143" s="44"/>
      <c r="CN143" s="44"/>
      <c r="CO143" s="2"/>
    </row>
    <row r="144" spans="1:93" ht="41.45" customHeight="1">
      <c r="A144" s="59" t="s">
        <v>360</v>
      </c>
      <c r="C144" s="60"/>
      <c r="D144" s="60" t="s">
        <v>64</v>
      </c>
      <c r="E144" s="61">
        <v>1.5</v>
      </c>
      <c r="F144" s="63"/>
      <c r="G144" s="92" t="str">
        <f>HYPERLINK("https://pbs.twimg.com/profile_images/1527192346219401217/nSmkP4rO_normal.jpg")</f>
        <v>https://pbs.twimg.com/profile_images/1527192346219401217/nSmkP4rO_normal.jpg</v>
      </c>
      <c r="H144" s="60"/>
      <c r="I144" s="64" t="str">
        <f>Vertices[[#This Row],[Vertex]]</f>
        <v>matanajwa</v>
      </c>
      <c r="J144" s="65"/>
      <c r="K144" s="65"/>
      <c r="L144" s="64"/>
      <c r="M144" s="68"/>
      <c r="N144" s="69">
        <v>7708.77587890625</v>
      </c>
      <c r="O144" s="69">
        <v>9323.3916015625</v>
      </c>
      <c r="P144" s="70"/>
      <c r="Q144" s="71"/>
      <c r="R144" s="71"/>
      <c r="S144" s="78"/>
      <c r="T144" s="44">
        <v>1</v>
      </c>
      <c r="U144" s="44">
        <v>0</v>
      </c>
      <c r="V144" s="45">
        <v>0</v>
      </c>
      <c r="W144" s="45">
        <v>0.007752</v>
      </c>
      <c r="X144" s="45">
        <v>0</v>
      </c>
      <c r="Y144" s="45">
        <v>0.003514</v>
      </c>
      <c r="Z144" s="45">
        <v>0</v>
      </c>
      <c r="AA144" s="45">
        <v>0</v>
      </c>
      <c r="AB144" s="66">
        <v>144</v>
      </c>
      <c r="AC1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4" s="67"/>
      <c r="AE144" t="s">
        <v>1589</v>
      </c>
      <c r="AF144" s="74" t="s">
        <v>1336</v>
      </c>
      <c r="AG144">
        <v>4957914</v>
      </c>
      <c r="AH144">
        <v>127</v>
      </c>
      <c r="AI144">
        <v>75449</v>
      </c>
      <c r="AJ144">
        <v>1752</v>
      </c>
      <c r="AK144">
        <v>267</v>
      </c>
      <c r="AL144">
        <v>6986</v>
      </c>
      <c r="AM144" t="b">
        <v>0</v>
      </c>
      <c r="AN144" s="73">
        <v>40063.53701388889</v>
      </c>
      <c r="AO144" t="s">
        <v>1957</v>
      </c>
      <c r="AP144" t="s">
        <v>2070</v>
      </c>
      <c r="AQ144" s="76" t="str">
        <f>HYPERLINK("https://t.co/AiIA9gakNf")</f>
        <v>https://t.co/AiIA9gakNf</v>
      </c>
      <c r="AR144" s="76" t="str">
        <f>HYPERLINK("https://linktr.ee/matanajwaa")</f>
        <v>https://linktr.ee/matanajwaa</v>
      </c>
      <c r="AS144" t="s">
        <v>2273</v>
      </c>
      <c r="AW144">
        <v>1.72949715892641E+18</v>
      </c>
      <c r="AX144" s="76" t="str">
        <f>HYPERLINK("https://t.co/AiIA9gakNf")</f>
        <v>https://t.co/AiIA9gakNf</v>
      </c>
      <c r="AY144" t="b">
        <v>1</v>
      </c>
      <c r="BB144" t="b">
        <v>0</v>
      </c>
      <c r="BC144" t="b">
        <v>1</v>
      </c>
      <c r="BD144" t="b">
        <v>0</v>
      </c>
      <c r="BE144" t="b">
        <v>0</v>
      </c>
      <c r="BF144" t="b">
        <v>1</v>
      </c>
      <c r="BG144" t="b">
        <v>0</v>
      </c>
      <c r="BH144" t="b">
        <v>0</v>
      </c>
      <c r="BI144" s="76" t="str">
        <f>HYPERLINK("https://pbs.twimg.com/profile_banners/72274016/1652946017")</f>
        <v>https://pbs.twimg.com/profile_banners/72274016/1652946017</v>
      </c>
      <c r="BK144" t="s">
        <v>2343</v>
      </c>
      <c r="BL144" t="b">
        <v>0</v>
      </c>
      <c r="BN144" t="s">
        <v>65</v>
      </c>
      <c r="BO144" t="s">
        <v>2345</v>
      </c>
      <c r="BP144" s="76" t="str">
        <f>HYPERLINK("https://twitter.com/matanajwa")</f>
        <v>https://twitter.com/matanajwa</v>
      </c>
      <c r="BQ144" s="44"/>
      <c r="BR144" s="44"/>
      <c r="BS144" s="44"/>
      <c r="BT144" s="44"/>
      <c r="BU144" s="44"/>
      <c r="BV144" s="44"/>
      <c r="BW144" s="44"/>
      <c r="BX144" s="44"/>
      <c r="BY144" s="44"/>
      <c r="BZ144" s="44"/>
      <c r="CA144" s="44"/>
      <c r="CB144" s="45"/>
      <c r="CC144" s="44"/>
      <c r="CD144" s="45"/>
      <c r="CE144" s="44"/>
      <c r="CF144" s="45"/>
      <c r="CG144" s="44"/>
      <c r="CH144" s="45"/>
      <c r="CI144" s="44"/>
      <c r="CJ144" s="112" t="str">
        <f>REPLACE(INDEX(GroupVertices[Group],MATCH("~"&amp;Vertices[[#This Row],[Vertex]],GroupVertices[Vertex],0)),1,1,"")</f>
        <v>16</v>
      </c>
      <c r="CK144" s="44"/>
      <c r="CL144" s="44"/>
      <c r="CM144" s="44"/>
      <c r="CN144" s="44"/>
      <c r="CO144" s="2"/>
    </row>
    <row r="145" spans="1:93" ht="41.45" customHeight="1">
      <c r="A145" s="59" t="s">
        <v>361</v>
      </c>
      <c r="C145" s="60"/>
      <c r="D145" s="60" t="s">
        <v>64</v>
      </c>
      <c r="E145" s="61">
        <v>1.5</v>
      </c>
      <c r="F145" s="63"/>
      <c r="G145" s="92" t="str">
        <f>HYPERLINK("https://pbs.twimg.com/profile_images/1720696701714132992/0y933vdn_normal.jpg")</f>
        <v>https://pbs.twimg.com/profile_images/1720696701714132992/0y933vdn_normal.jpg</v>
      </c>
      <c r="H145" s="60"/>
      <c r="I145" s="64" t="str">
        <f>Vertices[[#This Row],[Vertex]]</f>
        <v>panca66</v>
      </c>
      <c r="J145" s="65"/>
      <c r="K145" s="65"/>
      <c r="L145" s="64"/>
      <c r="M145" s="68"/>
      <c r="N145" s="69">
        <v>7493.89111328125</v>
      </c>
      <c r="O145" s="69">
        <v>7251.5263671875</v>
      </c>
      <c r="P145" s="70"/>
      <c r="Q145" s="71"/>
      <c r="R145" s="71"/>
      <c r="S145" s="78"/>
      <c r="T145" s="44">
        <v>1</v>
      </c>
      <c r="U145" s="44">
        <v>0</v>
      </c>
      <c r="V145" s="45">
        <v>0</v>
      </c>
      <c r="W145" s="45">
        <v>0.007752</v>
      </c>
      <c r="X145" s="45">
        <v>0</v>
      </c>
      <c r="Y145" s="45">
        <v>0.003514</v>
      </c>
      <c r="Z145" s="45">
        <v>0</v>
      </c>
      <c r="AA145" s="45">
        <v>0</v>
      </c>
      <c r="AB145" s="66">
        <v>145</v>
      </c>
      <c r="AC1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5" s="67"/>
      <c r="AE145" t="s">
        <v>1590</v>
      </c>
      <c r="AF145" s="74" t="s">
        <v>1337</v>
      </c>
      <c r="AG145">
        <v>233161</v>
      </c>
      <c r="AH145">
        <v>2300</v>
      </c>
      <c r="AI145">
        <v>386974</v>
      </c>
      <c r="AJ145">
        <v>3</v>
      </c>
      <c r="AK145">
        <v>2512</v>
      </c>
      <c r="AL145">
        <v>18109</v>
      </c>
      <c r="AM145" t="b">
        <v>0</v>
      </c>
      <c r="AN145" s="73">
        <v>40099.339004629626</v>
      </c>
      <c r="AO145" t="s">
        <v>996</v>
      </c>
      <c r="AP145" t="s">
        <v>2071</v>
      </c>
      <c r="AT145" s="76" t="str">
        <f>HYPERLINK("https://t.co/8HSteJBPwh")</f>
        <v>https://t.co/8HSteJBPwh</v>
      </c>
      <c r="AU145" s="76" t="str">
        <f>HYPERLINK("https://youtu.be/Hq0yjL0fMq4")</f>
        <v>https://youtu.be/Hq0yjL0fMq4</v>
      </c>
      <c r="AV145" t="s">
        <v>2339</v>
      </c>
      <c r="AW145">
        <v>1.28344950400437E+18</v>
      </c>
      <c r="AY145" t="b">
        <v>1</v>
      </c>
      <c r="BB145" t="b">
        <v>0</v>
      </c>
      <c r="BC145" t="b">
        <v>0</v>
      </c>
      <c r="BD145" t="b">
        <v>0</v>
      </c>
      <c r="BE145" t="b">
        <v>0</v>
      </c>
      <c r="BF145" t="b">
        <v>1</v>
      </c>
      <c r="BG145" t="b">
        <v>0</v>
      </c>
      <c r="BH145" t="b">
        <v>0</v>
      </c>
      <c r="BI145" s="76" t="str">
        <f>HYPERLINK("https://pbs.twimg.com/profile_banners/82042655/1616244533")</f>
        <v>https://pbs.twimg.com/profile_banners/82042655/1616244533</v>
      </c>
      <c r="BK145" t="s">
        <v>2343</v>
      </c>
      <c r="BL145" t="b">
        <v>0</v>
      </c>
      <c r="BN145" t="s">
        <v>65</v>
      </c>
      <c r="BO145" t="s">
        <v>2345</v>
      </c>
      <c r="BP145" s="76" t="str">
        <f>HYPERLINK("https://twitter.com/panca66")</f>
        <v>https://twitter.com/panca66</v>
      </c>
      <c r="BQ145" s="44"/>
      <c r="BR145" s="44"/>
      <c r="BS145" s="44"/>
      <c r="BT145" s="44"/>
      <c r="BU145" s="44"/>
      <c r="BV145" s="44"/>
      <c r="BW145" s="44"/>
      <c r="BX145" s="44"/>
      <c r="BY145" s="44"/>
      <c r="BZ145" s="44"/>
      <c r="CA145" s="44"/>
      <c r="CB145" s="45"/>
      <c r="CC145" s="44"/>
      <c r="CD145" s="45"/>
      <c r="CE145" s="44"/>
      <c r="CF145" s="45"/>
      <c r="CG145" s="44"/>
      <c r="CH145" s="45"/>
      <c r="CI145" s="44"/>
      <c r="CJ145" s="112" t="str">
        <f>REPLACE(INDEX(GroupVertices[Group],MATCH("~"&amp;Vertices[[#This Row],[Vertex]],GroupVertices[Vertex],0)),1,1,"")</f>
        <v>16</v>
      </c>
      <c r="CK145" s="44"/>
      <c r="CL145" s="44"/>
      <c r="CM145" s="44"/>
      <c r="CN145" s="44"/>
      <c r="CO145" s="2"/>
    </row>
    <row r="146" spans="1:93" ht="41.45" customHeight="1">
      <c r="A146" s="59" t="s">
        <v>425</v>
      </c>
      <c r="C146" s="60"/>
      <c r="D146" s="60" t="s">
        <v>64</v>
      </c>
      <c r="E146" s="61">
        <v>1.5</v>
      </c>
      <c r="F146" s="63"/>
      <c r="G146" s="92" t="str">
        <f>HYPERLINK("https://pbs.twimg.com/profile_images/1495712467171049472/GHD0n7kE_normal.jpg")</f>
        <v>https://pbs.twimg.com/profile_images/1495712467171049472/GHD0n7kE_normal.jpg</v>
      </c>
      <c r="H146" s="60"/>
      <c r="I146" s="64" t="str">
        <f>Vertices[[#This Row],[Vertex]]</f>
        <v>listyosigitp</v>
      </c>
      <c r="J146" s="65"/>
      <c r="K146" s="65"/>
      <c r="L146" s="64"/>
      <c r="M146" s="68"/>
      <c r="N146" s="69">
        <v>7333.3115234375</v>
      </c>
      <c r="O146" s="69">
        <v>4844.03466796875</v>
      </c>
      <c r="P146" s="70"/>
      <c r="Q146" s="71"/>
      <c r="R146" s="71"/>
      <c r="S146" s="78"/>
      <c r="T146" s="44">
        <v>1</v>
      </c>
      <c r="U146" s="44">
        <v>0</v>
      </c>
      <c r="V146" s="45">
        <v>0</v>
      </c>
      <c r="W146" s="45">
        <v>0.007344</v>
      </c>
      <c r="X146" s="45">
        <v>0</v>
      </c>
      <c r="Y146" s="45">
        <v>0.00359</v>
      </c>
      <c r="Z146" s="45">
        <v>0</v>
      </c>
      <c r="AA146" s="45">
        <v>0</v>
      </c>
      <c r="AB146" s="66">
        <v>146</v>
      </c>
      <c r="AC1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6" s="67"/>
      <c r="AE146" t="s">
        <v>1690</v>
      </c>
      <c r="AF146" s="74" t="s">
        <v>1858</v>
      </c>
      <c r="AG146">
        <v>209433</v>
      </c>
      <c r="AH146">
        <v>5</v>
      </c>
      <c r="AI146">
        <v>1526</v>
      </c>
      <c r="AJ146">
        <v>40</v>
      </c>
      <c r="AK146">
        <v>910</v>
      </c>
      <c r="AL146">
        <v>1184</v>
      </c>
      <c r="AM146" t="b">
        <v>0</v>
      </c>
      <c r="AN146" s="73">
        <v>44435.2040162037</v>
      </c>
      <c r="AP146" t="s">
        <v>2162</v>
      </c>
      <c r="AQ146" s="76" t="str">
        <f>HYPERLINK("https://t.co/DftdaSzmYK")</f>
        <v>https://t.co/DftdaSzmYK</v>
      </c>
      <c r="AR146" s="76" t="str">
        <f>HYPERLINK("https://linktr.ee/ListyoSigitprabowo")</f>
        <v>https://linktr.ee/ListyoSigitprabowo</v>
      </c>
      <c r="AS146" t="s">
        <v>2307</v>
      </c>
      <c r="AT146" s="76" t="str">
        <f>HYPERLINK("https://t.co/1wLj5HzwBZ")</f>
        <v>https://t.co/1wLj5HzwBZ</v>
      </c>
      <c r="AU146" s="76" t="str">
        <f>HYPERLINK("http://M.Si")</f>
        <v>http://M.Si</v>
      </c>
      <c r="AV146" t="s">
        <v>2341</v>
      </c>
      <c r="AX146" s="76" t="str">
        <f>HYPERLINK("https://t.co/DftdaSzmYK")</f>
        <v>https://t.co/DftdaSzmYK</v>
      </c>
      <c r="AY146" t="b">
        <v>1</v>
      </c>
      <c r="BB146" t="b">
        <v>1</v>
      </c>
      <c r="BC146" t="b">
        <v>1</v>
      </c>
      <c r="BD146" t="b">
        <v>1</v>
      </c>
      <c r="BE146" t="b">
        <v>0</v>
      </c>
      <c r="BF146" t="b">
        <v>1</v>
      </c>
      <c r="BG146" t="b">
        <v>0</v>
      </c>
      <c r="BH146" t="b">
        <v>0</v>
      </c>
      <c r="BI146" s="76" t="str">
        <f>HYPERLINK("https://pbs.twimg.com/profile_banners/1431117605775949824/1634795897")</f>
        <v>https://pbs.twimg.com/profile_banners/1431117605775949824/1634795897</v>
      </c>
      <c r="BK146" t="s">
        <v>2343</v>
      </c>
      <c r="BL146" t="b">
        <v>0</v>
      </c>
      <c r="BN146" t="s">
        <v>65</v>
      </c>
      <c r="BO146" t="s">
        <v>2345</v>
      </c>
      <c r="BP146" s="76" t="str">
        <f>HYPERLINK("https://twitter.com/listyosigitp")</f>
        <v>https://twitter.com/listyosigitp</v>
      </c>
      <c r="BQ146" s="44"/>
      <c r="BR146" s="44"/>
      <c r="BS146" s="44"/>
      <c r="BT146" s="44"/>
      <c r="BU146" s="44"/>
      <c r="BV146" s="44"/>
      <c r="BW146" s="44"/>
      <c r="BX146" s="44"/>
      <c r="BY146" s="44"/>
      <c r="BZ146" s="44"/>
      <c r="CA146" s="44"/>
      <c r="CB146" s="45"/>
      <c r="CC146" s="44"/>
      <c r="CD146" s="45"/>
      <c r="CE146" s="44"/>
      <c r="CF146" s="45"/>
      <c r="CG146" s="44"/>
      <c r="CH146" s="45"/>
      <c r="CI146" s="44"/>
      <c r="CJ146" s="112" t="str">
        <f>REPLACE(INDEX(GroupVertices[Group],MATCH("~"&amp;Vertices[[#This Row],[Vertex]],GroupVertices[Vertex],0)),1,1,"")</f>
        <v>15</v>
      </c>
      <c r="CK146" s="44"/>
      <c r="CL146" s="44"/>
      <c r="CM146" s="44"/>
      <c r="CN146" s="44"/>
      <c r="CO146" s="2"/>
    </row>
    <row r="147" spans="1:93" ht="41.45" customHeight="1">
      <c r="A147" s="59" t="s">
        <v>372</v>
      </c>
      <c r="C147" s="60"/>
      <c r="D147" s="60" t="s">
        <v>64</v>
      </c>
      <c r="E147" s="61">
        <v>1.5</v>
      </c>
      <c r="F147" s="63"/>
      <c r="G147" s="92" t="str">
        <f>HYPERLINK("https://pbs.twimg.com/profile_images/1012557540419235841/j15Rvzt5_normal.jpg")</f>
        <v>https://pbs.twimg.com/profile_images/1012557540419235841/j15Rvzt5_normal.jpg</v>
      </c>
      <c r="H147" s="60"/>
      <c r="I147" s="64" t="str">
        <f>Vertices[[#This Row],[Vertex]]</f>
        <v>ruhutsitompul</v>
      </c>
      <c r="J147" s="65"/>
      <c r="K147" s="65"/>
      <c r="L147" s="64"/>
      <c r="M147" s="68"/>
      <c r="N147" s="69">
        <v>7975.6328125</v>
      </c>
      <c r="O147" s="69">
        <v>1809.997314453125</v>
      </c>
      <c r="P147" s="70"/>
      <c r="Q147" s="71"/>
      <c r="R147" s="71"/>
      <c r="S147" s="78"/>
      <c r="T147" s="44">
        <v>1</v>
      </c>
      <c r="U147" s="44">
        <v>0</v>
      </c>
      <c r="V147" s="45">
        <v>0</v>
      </c>
      <c r="W147" s="45">
        <v>0.006977</v>
      </c>
      <c r="X147" s="45">
        <v>0</v>
      </c>
      <c r="Y147" s="45">
        <v>0.003525</v>
      </c>
      <c r="Z147" s="45">
        <v>0</v>
      </c>
      <c r="AA147" s="45">
        <v>0</v>
      </c>
      <c r="AB147" s="66">
        <v>147</v>
      </c>
      <c r="AC1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7" s="67"/>
      <c r="AE147" t="s">
        <v>1606</v>
      </c>
      <c r="AF147" s="74" t="s">
        <v>1823</v>
      </c>
      <c r="AG147">
        <v>2403623</v>
      </c>
      <c r="AH147">
        <v>191128</v>
      </c>
      <c r="AI147">
        <v>23925</v>
      </c>
      <c r="AJ147">
        <v>445</v>
      </c>
      <c r="AK147">
        <v>4789</v>
      </c>
      <c r="AL147">
        <v>2106</v>
      </c>
      <c r="AM147" t="b">
        <v>0</v>
      </c>
      <c r="AN147" s="73">
        <v>40506.411458333336</v>
      </c>
      <c r="AO147" t="s">
        <v>1945</v>
      </c>
      <c r="AP147" t="s">
        <v>2083</v>
      </c>
      <c r="AQ147" s="76" t="str">
        <f>HYPERLINK("https://t.co/3g9kPavTiW")</f>
        <v>https://t.co/3g9kPavTiW</v>
      </c>
      <c r="AR147" s="76" t="str">
        <f>HYPERLINK("https://www.youtube.com/channel/UCee2GY3xL4gFY8fQvUEWarw")</f>
        <v>https://www.youtube.com/channel/UCee2GY3xL4gFY8fQvUEWarw</v>
      </c>
      <c r="AS147" t="s">
        <v>2275</v>
      </c>
      <c r="AX147" s="76" t="str">
        <f>HYPERLINK("https://t.co/3g9kPavTiW")</f>
        <v>https://t.co/3g9kPavTiW</v>
      </c>
      <c r="AY147" t="b">
        <v>1</v>
      </c>
      <c r="BB147" t="b">
        <v>0</v>
      </c>
      <c r="BC147" t="b">
        <v>0</v>
      </c>
      <c r="BD147" t="b">
        <v>1</v>
      </c>
      <c r="BE147" t="b">
        <v>0</v>
      </c>
      <c r="BF147" t="b">
        <v>1</v>
      </c>
      <c r="BG147" t="b">
        <v>0</v>
      </c>
      <c r="BH147" t="b">
        <v>0</v>
      </c>
      <c r="BI147" s="76" t="str">
        <f>HYPERLINK("https://pbs.twimg.com/profile_banners/219244515/1530247597")</f>
        <v>https://pbs.twimg.com/profile_banners/219244515/1530247597</v>
      </c>
      <c r="BK147" t="s">
        <v>2343</v>
      </c>
      <c r="BL147" t="b">
        <v>0</v>
      </c>
      <c r="BN147" t="s">
        <v>65</v>
      </c>
      <c r="BO147" t="s">
        <v>2345</v>
      </c>
      <c r="BP147" s="76" t="str">
        <f>HYPERLINK("https://twitter.com/ruhutsitompul")</f>
        <v>https://twitter.com/ruhutsitompul</v>
      </c>
      <c r="BQ147" s="44"/>
      <c r="BR147" s="44"/>
      <c r="BS147" s="44"/>
      <c r="BT147" s="44"/>
      <c r="BU147" s="44"/>
      <c r="BV147" s="44"/>
      <c r="BW147" s="44"/>
      <c r="BX147" s="44"/>
      <c r="BY147" s="44"/>
      <c r="BZ147" s="44"/>
      <c r="CA147" s="44"/>
      <c r="CB147" s="45"/>
      <c r="CC147" s="44"/>
      <c r="CD147" s="45"/>
      <c r="CE147" s="44"/>
      <c r="CF147" s="45"/>
      <c r="CG147" s="44"/>
      <c r="CH147" s="45"/>
      <c r="CI147" s="44"/>
      <c r="CJ147" s="112" t="str">
        <f>REPLACE(INDEX(GroupVertices[Group],MATCH("~"&amp;Vertices[[#This Row],[Vertex]],GroupVertices[Vertex],0)),1,1,"")</f>
        <v>17</v>
      </c>
      <c r="CK147" s="44"/>
      <c r="CL147" s="44"/>
      <c r="CM147" s="44"/>
      <c r="CN147" s="44"/>
      <c r="CO147" s="2"/>
    </row>
    <row r="148" spans="1:93" ht="41.45" customHeight="1">
      <c r="A148" s="59" t="s">
        <v>373</v>
      </c>
      <c r="C148" s="60"/>
      <c r="D148" s="60" t="s">
        <v>64</v>
      </c>
      <c r="E148" s="61">
        <v>1.5</v>
      </c>
      <c r="F148" s="63"/>
      <c r="G148" s="92" t="str">
        <f>HYPERLINK("https://pbs.twimg.com/profile_images/770443674945589252/RAQ_NcQP_normal.jpg")</f>
        <v>https://pbs.twimg.com/profile_images/770443674945589252/RAQ_NcQP_normal.jpg</v>
      </c>
      <c r="H148" s="60"/>
      <c r="I148" s="64" t="str">
        <f>Vertices[[#This Row],[Vertex]]</f>
        <v>divhumas_polri</v>
      </c>
      <c r="J148" s="65"/>
      <c r="K148" s="65"/>
      <c r="L148" s="64"/>
      <c r="M148" s="68"/>
      <c r="N148" s="69">
        <v>7493.8828125</v>
      </c>
      <c r="O148" s="69">
        <v>2184.472412109375</v>
      </c>
      <c r="P148" s="70"/>
      <c r="Q148" s="71"/>
      <c r="R148" s="71"/>
      <c r="S148" s="78"/>
      <c r="T148" s="44">
        <v>1</v>
      </c>
      <c r="U148" s="44">
        <v>0</v>
      </c>
      <c r="V148" s="45">
        <v>0</v>
      </c>
      <c r="W148" s="45">
        <v>0.006977</v>
      </c>
      <c r="X148" s="45">
        <v>0</v>
      </c>
      <c r="Y148" s="45">
        <v>0.003525</v>
      </c>
      <c r="Z148" s="45">
        <v>0</v>
      </c>
      <c r="AA148" s="45">
        <v>0</v>
      </c>
      <c r="AB148" s="66">
        <v>148</v>
      </c>
      <c r="AC1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8" s="67"/>
      <c r="AE148" t="s">
        <v>1607</v>
      </c>
      <c r="AF148" s="74" t="s">
        <v>1824</v>
      </c>
      <c r="AG148">
        <v>2077885</v>
      </c>
      <c r="AH148">
        <v>40</v>
      </c>
      <c r="AI148">
        <v>81642</v>
      </c>
      <c r="AJ148">
        <v>837</v>
      </c>
      <c r="AK148">
        <v>3781</v>
      </c>
      <c r="AL148">
        <v>28486</v>
      </c>
      <c r="AM148" t="b">
        <v>0</v>
      </c>
      <c r="AN148" s="73">
        <v>40297.169652777775</v>
      </c>
      <c r="AP148" t="s">
        <v>2084</v>
      </c>
      <c r="AQ148" s="76" t="str">
        <f>HYPERLINK("https://t.co/CW4sv8TT7b")</f>
        <v>https://t.co/CW4sv8TT7b</v>
      </c>
      <c r="AR148" s="76" t="str">
        <f>HYPERLINK("http://tribratanews.polri.go.id")</f>
        <v>http://tribratanews.polri.go.id</v>
      </c>
      <c r="AS148" t="s">
        <v>2276</v>
      </c>
      <c r="AX148" s="76" t="str">
        <f>HYPERLINK("https://t.co/CW4sv8TT7b")</f>
        <v>https://t.co/CW4sv8TT7b</v>
      </c>
      <c r="AY148" t="b">
        <v>1</v>
      </c>
      <c r="BB148" t="b">
        <v>1</v>
      </c>
      <c r="BC148" t="b">
        <v>1</v>
      </c>
      <c r="BD148" t="b">
        <v>0</v>
      </c>
      <c r="BE148" t="b">
        <v>0</v>
      </c>
      <c r="BF148" t="b">
        <v>1</v>
      </c>
      <c r="BG148" t="b">
        <v>0</v>
      </c>
      <c r="BH148" t="b">
        <v>0</v>
      </c>
      <c r="BI148" s="76" t="str">
        <f>HYPERLINK("https://pbs.twimg.com/profile_banners/138290629/1690788574")</f>
        <v>https://pbs.twimg.com/profile_banners/138290629/1690788574</v>
      </c>
      <c r="BK148" t="s">
        <v>2343</v>
      </c>
      <c r="BL148" t="b">
        <v>0</v>
      </c>
      <c r="BN148" t="s">
        <v>65</v>
      </c>
      <c r="BO148" t="s">
        <v>2345</v>
      </c>
      <c r="BP148" s="76" t="str">
        <f>HYPERLINK("https://twitter.com/divhumas_polri")</f>
        <v>https://twitter.com/divhumas_polri</v>
      </c>
      <c r="BQ148" s="44"/>
      <c r="BR148" s="44"/>
      <c r="BS148" s="44"/>
      <c r="BT148" s="44"/>
      <c r="BU148" s="44"/>
      <c r="BV148" s="44"/>
      <c r="BW148" s="44"/>
      <c r="BX148" s="44"/>
      <c r="BY148" s="44"/>
      <c r="BZ148" s="44"/>
      <c r="CA148" s="44"/>
      <c r="CB148" s="45"/>
      <c r="CC148" s="44"/>
      <c r="CD148" s="45"/>
      <c r="CE148" s="44"/>
      <c r="CF148" s="45"/>
      <c r="CG148" s="44"/>
      <c r="CH148" s="45"/>
      <c r="CI148" s="44"/>
      <c r="CJ148" s="112" t="str">
        <f>REPLACE(INDEX(GroupVertices[Group],MATCH("~"&amp;Vertices[[#This Row],[Vertex]],GroupVertices[Vertex],0)),1,1,"")</f>
        <v>17</v>
      </c>
      <c r="CK148" s="44"/>
      <c r="CL148" s="44"/>
      <c r="CM148" s="44"/>
      <c r="CN148" s="44"/>
      <c r="CO148" s="2"/>
    </row>
    <row r="149" spans="1:93" ht="41.45" customHeight="1">
      <c r="A149" s="59" t="s">
        <v>374</v>
      </c>
      <c r="C149" s="60"/>
      <c r="D149" s="60" t="s">
        <v>64</v>
      </c>
      <c r="E149" s="61">
        <v>1.5</v>
      </c>
      <c r="F149" s="63"/>
      <c r="G149" s="92" t="str">
        <f>HYPERLINK("https://pbs.twimg.com/profile_images/1524640939217629184/Xqf34zSw_normal.jpg")</f>
        <v>https://pbs.twimg.com/profile_images/1524640939217629184/Xqf34zSw_normal.jpg</v>
      </c>
      <c r="H149" s="60"/>
      <c r="I149" s="64" t="str">
        <f>Vertices[[#This Row],[Vertex]]</f>
        <v>megapkeliduan</v>
      </c>
      <c r="J149" s="65"/>
      <c r="K149" s="65"/>
      <c r="L149" s="64"/>
      <c r="M149" s="68"/>
      <c r="N149" s="69">
        <v>7632.4921875</v>
      </c>
      <c r="O149" s="69">
        <v>675.6143188476562</v>
      </c>
      <c r="P149" s="70"/>
      <c r="Q149" s="71"/>
      <c r="R149" s="71"/>
      <c r="S149" s="78"/>
      <c r="T149" s="44">
        <v>1</v>
      </c>
      <c r="U149" s="44">
        <v>0</v>
      </c>
      <c r="V149" s="45">
        <v>0</v>
      </c>
      <c r="W149" s="45">
        <v>0.006977</v>
      </c>
      <c r="X149" s="45">
        <v>0</v>
      </c>
      <c r="Y149" s="45">
        <v>0.003525</v>
      </c>
      <c r="Z149" s="45">
        <v>0</v>
      </c>
      <c r="AA149" s="45">
        <v>0</v>
      </c>
      <c r="AB149" s="66">
        <v>149</v>
      </c>
      <c r="AC1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9" s="67"/>
      <c r="AE149" t="s">
        <v>1608</v>
      </c>
      <c r="AF149" s="74" t="s">
        <v>1342</v>
      </c>
      <c r="AG149">
        <v>2841</v>
      </c>
      <c r="AH149">
        <v>80</v>
      </c>
      <c r="AI149">
        <v>722</v>
      </c>
      <c r="AJ149">
        <v>3</v>
      </c>
      <c r="AK149">
        <v>664</v>
      </c>
      <c r="AL149">
        <v>115</v>
      </c>
      <c r="AM149" t="b">
        <v>0</v>
      </c>
      <c r="AN149" s="73">
        <v>44693.27825231481</v>
      </c>
      <c r="AP149" t="s">
        <v>2085</v>
      </c>
      <c r="AW149">
        <v>1.52801479230871E+18</v>
      </c>
      <c r="AY149" t="b">
        <v>0</v>
      </c>
      <c r="BB149" t="b">
        <v>1</v>
      </c>
      <c r="BC149" t="b">
        <v>1</v>
      </c>
      <c r="BD149" t="b">
        <v>1</v>
      </c>
      <c r="BE149" t="b">
        <v>0</v>
      </c>
      <c r="BF149" t="b">
        <v>0</v>
      </c>
      <c r="BG149" t="b">
        <v>0</v>
      </c>
      <c r="BH149" t="b">
        <v>0</v>
      </c>
      <c r="BI149" s="76" t="str">
        <f>HYPERLINK("https://pbs.twimg.com/profile_banners/1524640649739259906/1652444215")</f>
        <v>https://pbs.twimg.com/profile_banners/1524640649739259906/1652444215</v>
      </c>
      <c r="BK149" t="s">
        <v>2343</v>
      </c>
      <c r="BL149" t="b">
        <v>0</v>
      </c>
      <c r="BN149" t="s">
        <v>65</v>
      </c>
      <c r="BO149" t="s">
        <v>2345</v>
      </c>
      <c r="BP149" s="76" t="str">
        <f>HYPERLINK("https://twitter.com/megapkeliduan")</f>
        <v>https://twitter.com/megapkeliduan</v>
      </c>
      <c r="BQ149" s="44"/>
      <c r="BR149" s="44"/>
      <c r="BS149" s="44"/>
      <c r="BT149" s="44"/>
      <c r="BU149" s="44"/>
      <c r="BV149" s="44"/>
      <c r="BW149" s="44"/>
      <c r="BX149" s="44"/>
      <c r="BY149" s="44"/>
      <c r="BZ149" s="44"/>
      <c r="CA149" s="44"/>
      <c r="CB149" s="45"/>
      <c r="CC149" s="44"/>
      <c r="CD149" s="45"/>
      <c r="CE149" s="44"/>
      <c r="CF149" s="45"/>
      <c r="CG149" s="44"/>
      <c r="CH149" s="45"/>
      <c r="CI149" s="44"/>
      <c r="CJ149" s="112" t="str">
        <f>REPLACE(INDEX(GroupVertices[Group],MATCH("~"&amp;Vertices[[#This Row],[Vertex]],GroupVertices[Vertex],0)),1,1,"")</f>
        <v>17</v>
      </c>
      <c r="CK149" s="44"/>
      <c r="CL149" s="44"/>
      <c r="CM149" s="44"/>
      <c r="CN149" s="44"/>
      <c r="CO149" s="2"/>
    </row>
    <row r="150" spans="1:93" ht="41.45" customHeight="1">
      <c r="A150" s="59" t="s">
        <v>476</v>
      </c>
      <c r="C150" s="60"/>
      <c r="D150" s="60" t="s">
        <v>64</v>
      </c>
      <c r="E150" s="61">
        <v>1.5</v>
      </c>
      <c r="F150" s="63"/>
      <c r="G150" s="92" t="str">
        <f>HYPERLINK("https://pbs.twimg.com/profile_images/1483548688517824512/qDEhRbwS_normal.jpg")</f>
        <v>https://pbs.twimg.com/profile_images/1483548688517824512/qDEhRbwS_normal.jpg</v>
      </c>
      <c r="H150" s="60"/>
      <c r="I150" s="64" t="str">
        <f>Vertices[[#This Row],[Vertex]]</f>
        <v>partaigeloraid</v>
      </c>
      <c r="J150" s="65"/>
      <c r="K150" s="65"/>
      <c r="L150" s="64"/>
      <c r="M150" s="68"/>
      <c r="N150" s="69">
        <v>7975.634765625</v>
      </c>
      <c r="O150" s="69">
        <v>2860.0771484375</v>
      </c>
      <c r="P150" s="70"/>
      <c r="Q150" s="71"/>
      <c r="R150" s="71"/>
      <c r="S150" s="78"/>
      <c r="T150" s="44">
        <v>1</v>
      </c>
      <c r="U150" s="44">
        <v>0</v>
      </c>
      <c r="V150" s="45">
        <v>0</v>
      </c>
      <c r="W150" s="45">
        <v>0.005814</v>
      </c>
      <c r="X150" s="45">
        <v>0</v>
      </c>
      <c r="Y150" s="45">
        <v>0.003585</v>
      </c>
      <c r="Z150" s="45">
        <v>0</v>
      </c>
      <c r="AA150" s="45">
        <v>0</v>
      </c>
      <c r="AB150" s="66">
        <v>150</v>
      </c>
      <c r="AC1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0" s="67"/>
      <c r="AE150" t="s">
        <v>1768</v>
      </c>
      <c r="AF150" s="74" t="s">
        <v>1913</v>
      </c>
      <c r="AG150">
        <v>13668</v>
      </c>
      <c r="AH150">
        <v>102</v>
      </c>
      <c r="AI150">
        <v>7730</v>
      </c>
      <c r="AJ150">
        <v>13</v>
      </c>
      <c r="AK150">
        <v>1786</v>
      </c>
      <c r="AL150">
        <v>3166</v>
      </c>
      <c r="AM150" t="b">
        <v>0</v>
      </c>
      <c r="AN150" s="73">
        <v>43741.47430555556</v>
      </c>
      <c r="AO150" t="s">
        <v>996</v>
      </c>
      <c r="AP150" t="s">
        <v>2232</v>
      </c>
      <c r="AQ150" s="76" t="str">
        <f>HYPERLINK("https://t.co/oPcYNASt8P")</f>
        <v>https://t.co/oPcYNASt8P</v>
      </c>
      <c r="AR150" s="76" t="str">
        <f>HYPERLINK("https://linktr.ee/partaigeloraid/")</f>
        <v>https://linktr.ee/partaigeloraid/</v>
      </c>
      <c r="AS150" t="s">
        <v>2319</v>
      </c>
      <c r="AW150">
        <v>1.72910697440991E+18</v>
      </c>
      <c r="AX150" s="76" t="str">
        <f>HYPERLINK("https://t.co/oPcYNASt8P")</f>
        <v>https://t.co/oPcYNASt8P</v>
      </c>
      <c r="AY150" t="b">
        <v>0</v>
      </c>
      <c r="BB150" t="b">
        <v>1</v>
      </c>
      <c r="BC150" t="b">
        <v>1</v>
      </c>
      <c r="BD150" t="b">
        <v>1</v>
      </c>
      <c r="BE150" t="b">
        <v>0</v>
      </c>
      <c r="BF150" t="b">
        <v>0</v>
      </c>
      <c r="BG150" t="b">
        <v>0</v>
      </c>
      <c r="BH150" t="b">
        <v>0</v>
      </c>
      <c r="BI150" s="76" t="str">
        <f>HYPERLINK("https://pbs.twimg.com/profile_banners/1179718333605658624/1672289089")</f>
        <v>https://pbs.twimg.com/profile_banners/1179718333605658624/1672289089</v>
      </c>
      <c r="BK150" t="s">
        <v>2343</v>
      </c>
      <c r="BL150" t="b">
        <v>0</v>
      </c>
      <c r="BN150" t="s">
        <v>65</v>
      </c>
      <c r="BO150" t="s">
        <v>2345</v>
      </c>
      <c r="BP150" s="76" t="str">
        <f>HYPERLINK("https://twitter.com/partaigeloraid")</f>
        <v>https://twitter.com/partaigeloraid</v>
      </c>
      <c r="BQ150" s="44"/>
      <c r="BR150" s="44"/>
      <c r="BS150" s="44"/>
      <c r="BT150" s="44"/>
      <c r="BU150" s="44"/>
      <c r="BV150" s="44"/>
      <c r="BW150" s="44"/>
      <c r="BX150" s="44"/>
      <c r="BY150" s="44"/>
      <c r="BZ150" s="44"/>
      <c r="CA150" s="44"/>
      <c r="CB150" s="45"/>
      <c r="CC150" s="44"/>
      <c r="CD150" s="45"/>
      <c r="CE150" s="44"/>
      <c r="CF150" s="45"/>
      <c r="CG150" s="44"/>
      <c r="CH150" s="45"/>
      <c r="CI150" s="44"/>
      <c r="CJ150" s="112" t="str">
        <f>REPLACE(INDEX(GroupVertices[Group],MATCH("~"&amp;Vertices[[#This Row],[Vertex]],GroupVertices[Vertex],0)),1,1,"")</f>
        <v>18</v>
      </c>
      <c r="CK150" s="44"/>
      <c r="CL150" s="44"/>
      <c r="CM150" s="44"/>
      <c r="CN150" s="44"/>
      <c r="CO150" s="2"/>
    </row>
    <row r="151" spans="1:93" ht="41.45" customHeight="1">
      <c r="A151" s="59" t="s">
        <v>356</v>
      </c>
      <c r="C151" s="60"/>
      <c r="D151" s="60" t="s">
        <v>64</v>
      </c>
      <c r="E151" s="61">
        <v>1.5</v>
      </c>
      <c r="F151" s="63"/>
      <c r="G151" s="92" t="str">
        <f>HYPERLINK("https://pbs.twimg.com/profile_images/1646769127493877761/bGdslGTd_normal.jpg")</f>
        <v>https://pbs.twimg.com/profile_images/1646769127493877761/bGdslGTd_normal.jpg</v>
      </c>
      <c r="H151" s="60"/>
      <c r="I151" s="64" t="str">
        <f>Vertices[[#This Row],[Vertex]]</f>
        <v>jokowi</v>
      </c>
      <c r="J151" s="65"/>
      <c r="K151" s="65"/>
      <c r="L151" s="64"/>
      <c r="M151" s="68"/>
      <c r="N151" s="69">
        <v>9372.712890625</v>
      </c>
      <c r="O151" s="69">
        <v>9323.3916015625</v>
      </c>
      <c r="P151" s="70"/>
      <c r="Q151" s="71"/>
      <c r="R151" s="71"/>
      <c r="S151" s="78"/>
      <c r="T151" s="44">
        <v>1</v>
      </c>
      <c r="U151" s="44">
        <v>0</v>
      </c>
      <c r="V151" s="45">
        <v>0</v>
      </c>
      <c r="W151" s="45">
        <v>0.005168</v>
      </c>
      <c r="X151" s="45">
        <v>0</v>
      </c>
      <c r="Y151" s="45">
        <v>0.003609</v>
      </c>
      <c r="Z151" s="45">
        <v>0</v>
      </c>
      <c r="AA151" s="45">
        <v>0</v>
      </c>
      <c r="AB151" s="66">
        <v>151</v>
      </c>
      <c r="AC1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1" s="67"/>
      <c r="AE151" t="s">
        <v>1574</v>
      </c>
      <c r="AF151" s="74" t="s">
        <v>1333</v>
      </c>
      <c r="AG151">
        <v>20236647</v>
      </c>
      <c r="AH151">
        <v>58</v>
      </c>
      <c r="AI151">
        <v>6251</v>
      </c>
      <c r="AJ151">
        <v>4496</v>
      </c>
      <c r="AK151">
        <v>25</v>
      </c>
      <c r="AL151">
        <v>5267</v>
      </c>
      <c r="AM151" t="b">
        <v>0</v>
      </c>
      <c r="AN151" s="73">
        <v>40789.22315972222</v>
      </c>
      <c r="AO151" t="s">
        <v>1945</v>
      </c>
      <c r="AP151" t="s">
        <v>2056</v>
      </c>
      <c r="AW151">
        <v>4.7891476437914E+17</v>
      </c>
      <c r="AY151" t="b">
        <v>1</v>
      </c>
      <c r="BA151" t="b">
        <v>1</v>
      </c>
      <c r="BB151" t="b">
        <v>1</v>
      </c>
      <c r="BC151" t="b">
        <v>0</v>
      </c>
      <c r="BD151" t="b">
        <v>0</v>
      </c>
      <c r="BE151" t="b">
        <v>0</v>
      </c>
      <c r="BF151" t="b">
        <v>0</v>
      </c>
      <c r="BG151" t="b">
        <v>0</v>
      </c>
      <c r="BH151" t="b">
        <v>0</v>
      </c>
      <c r="BI151" s="76" t="str">
        <f>HYPERLINK("https://pbs.twimg.com/profile_banners/366987179/1674809150")</f>
        <v>https://pbs.twimg.com/profile_banners/366987179/1674809150</v>
      </c>
      <c r="BK151" t="s">
        <v>2344</v>
      </c>
      <c r="BL151" t="b">
        <v>1</v>
      </c>
      <c r="BN151" t="s">
        <v>65</v>
      </c>
      <c r="BO151" t="s">
        <v>2345</v>
      </c>
      <c r="BP151" s="76" t="str">
        <f>HYPERLINK("https://twitter.com/jokowi")</f>
        <v>https://twitter.com/jokowi</v>
      </c>
      <c r="BQ151" s="44"/>
      <c r="BR151" s="44"/>
      <c r="BS151" s="44"/>
      <c r="BT151" s="44"/>
      <c r="BU151" s="44"/>
      <c r="BV151" s="44"/>
      <c r="BW151" s="44"/>
      <c r="BX151" s="44"/>
      <c r="BY151" s="44"/>
      <c r="BZ151" s="44"/>
      <c r="CA151" s="44"/>
      <c r="CB151" s="45"/>
      <c r="CC151" s="44"/>
      <c r="CD151" s="45"/>
      <c r="CE151" s="44"/>
      <c r="CF151" s="45"/>
      <c r="CG151" s="44"/>
      <c r="CH151" s="45"/>
      <c r="CI151" s="44"/>
      <c r="CJ151" s="112" t="str">
        <f>REPLACE(INDEX(GroupVertices[Group],MATCH("~"&amp;Vertices[[#This Row],[Vertex]],GroupVertices[Vertex],0)),1,1,"")</f>
        <v>22</v>
      </c>
      <c r="CK151" s="44"/>
      <c r="CL151" s="44"/>
      <c r="CM151" s="44"/>
      <c r="CN151" s="44"/>
      <c r="CO151" s="2"/>
    </row>
    <row r="152" spans="1:93" ht="41.45" customHeight="1">
      <c r="A152" s="59" t="s">
        <v>375</v>
      </c>
      <c r="C152" s="60"/>
      <c r="D152" s="60" t="s">
        <v>64</v>
      </c>
      <c r="E152" s="61">
        <v>1.5</v>
      </c>
      <c r="F152" s="63"/>
      <c r="G152" s="92" t="str">
        <f>HYPERLINK("https://pbs.twimg.com/profile_images/1659195167147180033/OYfHnEGk_normal.jpg")</f>
        <v>https://pbs.twimg.com/profile_images/1659195167147180033/OYfHnEGk_normal.jpg</v>
      </c>
      <c r="H152" s="60"/>
      <c r="I152" s="64" t="str">
        <f>Vertices[[#This Row],[Vertex]]</f>
        <v>ganjarpranowo</v>
      </c>
      <c r="J152" s="65"/>
      <c r="K152" s="65"/>
      <c r="L152" s="64"/>
      <c r="M152" s="68"/>
      <c r="N152" s="69">
        <v>8136.220703125</v>
      </c>
      <c r="O152" s="69">
        <v>9323.392578125</v>
      </c>
      <c r="P152" s="70"/>
      <c r="Q152" s="71"/>
      <c r="R152" s="71"/>
      <c r="S152" s="78"/>
      <c r="T152" s="44">
        <v>1</v>
      </c>
      <c r="U152" s="44">
        <v>0</v>
      </c>
      <c r="V152" s="45">
        <v>0</v>
      </c>
      <c r="W152" s="45">
        <v>0.005168</v>
      </c>
      <c r="X152" s="45">
        <v>0</v>
      </c>
      <c r="Y152" s="45">
        <v>0.003609</v>
      </c>
      <c r="Z152" s="45">
        <v>0</v>
      </c>
      <c r="AA152" s="45">
        <v>0</v>
      </c>
      <c r="AB152" s="66">
        <v>152</v>
      </c>
      <c r="AC1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2" s="67"/>
      <c r="AE152" t="s">
        <v>1611</v>
      </c>
      <c r="AF152" s="74" t="s">
        <v>1825</v>
      </c>
      <c r="AG152">
        <v>3498344</v>
      </c>
      <c r="AH152">
        <v>3605</v>
      </c>
      <c r="AI152">
        <v>148674</v>
      </c>
      <c r="AJ152">
        <v>873</v>
      </c>
      <c r="AK152">
        <v>17</v>
      </c>
      <c r="AL152">
        <v>9408</v>
      </c>
      <c r="AM152" t="b">
        <v>0</v>
      </c>
      <c r="AN152" s="73">
        <v>40208.20579861111</v>
      </c>
      <c r="AO152" t="s">
        <v>996</v>
      </c>
      <c r="AP152" t="s">
        <v>2088</v>
      </c>
      <c r="AQ152" s="76" t="str">
        <f>HYPERLINK("https://t.co/vzE06XowWb")</f>
        <v>https://t.co/vzE06XowWb</v>
      </c>
      <c r="AR152" s="76" t="str">
        <f>HYPERLINK("https://www.ganjarpranowo.com/")</f>
        <v>https://www.ganjarpranowo.com/</v>
      </c>
      <c r="AS152" t="s">
        <v>2278</v>
      </c>
      <c r="AX152" s="76" t="str">
        <f>HYPERLINK("https://t.co/vzE06XowWb")</f>
        <v>https://t.co/vzE06XowWb</v>
      </c>
      <c r="AY152" t="b">
        <v>1</v>
      </c>
      <c r="BB152" t="b">
        <v>0</v>
      </c>
      <c r="BC152" t="b">
        <v>1</v>
      </c>
      <c r="BD152" t="b">
        <v>1</v>
      </c>
      <c r="BE152" t="b">
        <v>0</v>
      </c>
      <c r="BF152" t="b">
        <v>0</v>
      </c>
      <c r="BG152" t="b">
        <v>0</v>
      </c>
      <c r="BH152" t="b">
        <v>0</v>
      </c>
      <c r="BI152" s="76" t="str">
        <f>HYPERLINK("https://pbs.twimg.com/profile_banners/109762193/1695440666")</f>
        <v>https://pbs.twimg.com/profile_banners/109762193/1695440666</v>
      </c>
      <c r="BK152" t="s">
        <v>2343</v>
      </c>
      <c r="BL152" t="b">
        <v>0</v>
      </c>
      <c r="BN152" t="s">
        <v>65</v>
      </c>
      <c r="BO152" t="s">
        <v>2345</v>
      </c>
      <c r="BP152" s="76" t="str">
        <f>HYPERLINK("https://twitter.com/ganjarpranowo")</f>
        <v>https://twitter.com/ganjarpranowo</v>
      </c>
      <c r="BQ152" s="44"/>
      <c r="BR152" s="44"/>
      <c r="BS152" s="44"/>
      <c r="BT152" s="44"/>
      <c r="BU152" s="44"/>
      <c r="BV152" s="44"/>
      <c r="BW152" s="44"/>
      <c r="BX152" s="44"/>
      <c r="BY152" s="44"/>
      <c r="BZ152" s="44"/>
      <c r="CA152" s="44"/>
      <c r="CB152" s="45"/>
      <c r="CC152" s="44"/>
      <c r="CD152" s="45"/>
      <c r="CE152" s="44"/>
      <c r="CF152" s="45"/>
      <c r="CG152" s="44"/>
      <c r="CH152" s="45"/>
      <c r="CI152" s="44"/>
      <c r="CJ152" s="112" t="str">
        <f>REPLACE(INDEX(GroupVertices[Group],MATCH("~"&amp;Vertices[[#This Row],[Vertex]],GroupVertices[Vertex],0)),1,1,"")</f>
        <v>23</v>
      </c>
      <c r="CK152" s="44"/>
      <c r="CL152" s="44"/>
      <c r="CM152" s="44"/>
      <c r="CN152" s="44"/>
      <c r="CO152" s="2"/>
    </row>
    <row r="153" spans="1:93" ht="41.45" customHeight="1">
      <c r="A153" s="59" t="s">
        <v>402</v>
      </c>
      <c r="C153" s="60"/>
      <c r="D153" s="60" t="s">
        <v>64</v>
      </c>
      <c r="E153" s="61">
        <v>1.5</v>
      </c>
      <c r="F153" s="63"/>
      <c r="G153" s="92" t="str">
        <f>HYPERLINK("https://pbs.twimg.com/profile_images/1650691400957321217/535fO5f8_normal.jpg")</f>
        <v>https://pbs.twimg.com/profile_images/1650691400957321217/535fO5f8_normal.jpg</v>
      </c>
      <c r="H153" s="60"/>
      <c r="I153" s="64" t="str">
        <f>Vertices[[#This Row],[Vertex]]</f>
        <v>pdemokrat</v>
      </c>
      <c r="J153" s="65"/>
      <c r="K153" s="65"/>
      <c r="L153" s="64"/>
      <c r="M153" s="68"/>
      <c r="N153" s="69">
        <v>9838.40625</v>
      </c>
      <c r="O153" s="69">
        <v>7724.45166015625</v>
      </c>
      <c r="P153" s="70"/>
      <c r="Q153" s="71"/>
      <c r="R153" s="71"/>
      <c r="S153" s="78"/>
      <c r="T153" s="44">
        <v>1</v>
      </c>
      <c r="U153" s="44">
        <v>0</v>
      </c>
      <c r="V153" s="45">
        <v>0</v>
      </c>
      <c r="W153" s="45">
        <v>0.005168</v>
      </c>
      <c r="X153" s="45">
        <v>0</v>
      </c>
      <c r="Y153" s="45">
        <v>0.003609</v>
      </c>
      <c r="Z153" s="45">
        <v>0</v>
      </c>
      <c r="AA153" s="45">
        <v>0</v>
      </c>
      <c r="AB153" s="66">
        <v>153</v>
      </c>
      <c r="AC1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3" s="67"/>
      <c r="AE153" t="s">
        <v>1658</v>
      </c>
      <c r="AF153" s="74" t="s">
        <v>1844</v>
      </c>
      <c r="AG153">
        <v>240921</v>
      </c>
      <c r="AH153">
        <v>1875</v>
      </c>
      <c r="AI153">
        <v>22693</v>
      </c>
      <c r="AJ153">
        <v>16</v>
      </c>
      <c r="AK153">
        <v>3402</v>
      </c>
      <c r="AL153">
        <v>9501</v>
      </c>
      <c r="AM153" t="b">
        <v>0</v>
      </c>
      <c r="AN153" s="73">
        <v>40580.56652777778</v>
      </c>
      <c r="AO153" t="s">
        <v>1942</v>
      </c>
      <c r="AP153" t="s">
        <v>2130</v>
      </c>
      <c r="AW153">
        <v>1.72974973747634E+18</v>
      </c>
      <c r="AY153" t="b">
        <v>1</v>
      </c>
      <c r="BB153" t="b">
        <v>0</v>
      </c>
      <c r="BC153" t="b">
        <v>0</v>
      </c>
      <c r="BD153" t="b">
        <v>1</v>
      </c>
      <c r="BE153" t="b">
        <v>0</v>
      </c>
      <c r="BF153" t="b">
        <v>0</v>
      </c>
      <c r="BG153" t="b">
        <v>0</v>
      </c>
      <c r="BH153" t="b">
        <v>0</v>
      </c>
      <c r="BI153" s="76" t="str">
        <f>HYPERLINK("https://pbs.twimg.com/profile_banners/248199104/1682390898")</f>
        <v>https://pbs.twimg.com/profile_banners/248199104/1682390898</v>
      </c>
      <c r="BK153" t="s">
        <v>2343</v>
      </c>
      <c r="BL153" t="b">
        <v>0</v>
      </c>
      <c r="BN153" t="s">
        <v>65</v>
      </c>
      <c r="BO153" t="s">
        <v>2345</v>
      </c>
      <c r="BP153" s="76" t="str">
        <f>HYPERLINK("https://twitter.com/pdemokrat")</f>
        <v>https://twitter.com/pdemokrat</v>
      </c>
      <c r="BQ153" s="44"/>
      <c r="BR153" s="44"/>
      <c r="BS153" s="44"/>
      <c r="BT153" s="44"/>
      <c r="BU153" s="44"/>
      <c r="BV153" s="44"/>
      <c r="BW153" s="44"/>
      <c r="BX153" s="44"/>
      <c r="BY153" s="44"/>
      <c r="BZ153" s="44"/>
      <c r="CA153" s="44"/>
      <c r="CB153" s="45"/>
      <c r="CC153" s="44"/>
      <c r="CD153" s="45"/>
      <c r="CE153" s="44"/>
      <c r="CF153" s="45"/>
      <c r="CG153" s="44"/>
      <c r="CH153" s="45"/>
      <c r="CI153" s="44"/>
      <c r="CJ153" s="112" t="str">
        <f>REPLACE(INDEX(GroupVertices[Group],MATCH("~"&amp;Vertices[[#This Row],[Vertex]],GroupVertices[Vertex],0)),1,1,"")</f>
        <v>20</v>
      </c>
      <c r="CK153" s="44"/>
      <c r="CL153" s="44"/>
      <c r="CM153" s="44"/>
      <c r="CN153" s="44"/>
      <c r="CO153" s="2"/>
    </row>
    <row r="154" spans="1:93" ht="41.45" customHeight="1">
      <c r="A154" s="59" t="s">
        <v>403</v>
      </c>
      <c r="C154" s="60"/>
      <c r="D154" s="60" t="s">
        <v>64</v>
      </c>
      <c r="E154" s="61">
        <v>1.5</v>
      </c>
      <c r="F154" s="63"/>
      <c r="G154" s="92" t="str">
        <f>HYPERLINK("https://pbs.twimg.com/profile_images/1631128253615464453/2PGcGQNI_normal.jpg")</f>
        <v>https://pbs.twimg.com/profile_images/1631128253615464453/2PGcGQNI_normal.jpg</v>
      </c>
      <c r="H154" s="60"/>
      <c r="I154" s="64" t="str">
        <f>Vertices[[#This Row],[Vertex]]</f>
        <v>_rizmaya__</v>
      </c>
      <c r="J154" s="65"/>
      <c r="K154" s="65"/>
      <c r="L154" s="64"/>
      <c r="M154" s="68"/>
      <c r="N154" s="69">
        <v>9533.2978515625</v>
      </c>
      <c r="O154" s="69">
        <v>9323.392578125</v>
      </c>
      <c r="P154" s="70"/>
      <c r="Q154" s="71"/>
      <c r="R154" s="71"/>
      <c r="S154" s="78"/>
      <c r="T154" s="44">
        <v>1</v>
      </c>
      <c r="U154" s="44">
        <v>0</v>
      </c>
      <c r="V154" s="45">
        <v>0</v>
      </c>
      <c r="W154" s="45">
        <v>0.005168</v>
      </c>
      <c r="X154" s="45">
        <v>0</v>
      </c>
      <c r="Y154" s="45">
        <v>0.003609</v>
      </c>
      <c r="Z154" s="45">
        <v>0</v>
      </c>
      <c r="AA154" s="45">
        <v>0</v>
      </c>
      <c r="AB154" s="66">
        <v>154</v>
      </c>
      <c r="AC1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4" s="67"/>
      <c r="AE154" t="s">
        <v>1659</v>
      </c>
      <c r="AF154" s="74" t="s">
        <v>1360</v>
      </c>
      <c r="AG154">
        <v>111998</v>
      </c>
      <c r="AH154">
        <v>7484</v>
      </c>
      <c r="AI154">
        <v>97623</v>
      </c>
      <c r="AJ154">
        <v>1163</v>
      </c>
      <c r="AK154">
        <v>59709</v>
      </c>
      <c r="AL154">
        <v>6322</v>
      </c>
      <c r="AM154" t="b">
        <v>0</v>
      </c>
      <c r="AN154" s="73">
        <v>40816.28240740741</v>
      </c>
      <c r="AO154" t="s">
        <v>1971</v>
      </c>
      <c r="AP154" t="s">
        <v>2131</v>
      </c>
      <c r="AY154" t="b">
        <v>1</v>
      </c>
      <c r="BB154" t="b">
        <v>0</v>
      </c>
      <c r="BC154" t="b">
        <v>0</v>
      </c>
      <c r="BD154" t="b">
        <v>0</v>
      </c>
      <c r="BE154" t="b">
        <v>0</v>
      </c>
      <c r="BF154" t="b">
        <v>1</v>
      </c>
      <c r="BG154" t="b">
        <v>0</v>
      </c>
      <c r="BH154" t="b">
        <v>0</v>
      </c>
      <c r="BI154" s="76" t="str">
        <f>HYPERLINK("https://pbs.twimg.com/profile_banners/382522068/1653739535")</f>
        <v>https://pbs.twimg.com/profile_banners/382522068/1653739535</v>
      </c>
      <c r="BK154" t="s">
        <v>2343</v>
      </c>
      <c r="BL154" t="b">
        <v>0</v>
      </c>
      <c r="BN154" t="s">
        <v>65</v>
      </c>
      <c r="BO154" t="s">
        <v>2345</v>
      </c>
      <c r="BP154" s="76" t="str">
        <f>HYPERLINK("https://twitter.com/_rizmaya__")</f>
        <v>https://twitter.com/_rizmaya__</v>
      </c>
      <c r="BQ154" s="44"/>
      <c r="BR154" s="44"/>
      <c r="BS154" s="44"/>
      <c r="BT154" s="44"/>
      <c r="BU154" s="44"/>
      <c r="BV154" s="44"/>
      <c r="BW154" s="44"/>
      <c r="BX154" s="44"/>
      <c r="BY154" s="44"/>
      <c r="BZ154" s="44"/>
      <c r="CA154" s="44"/>
      <c r="CB154" s="45"/>
      <c r="CC154" s="44"/>
      <c r="CD154" s="45"/>
      <c r="CE154" s="44"/>
      <c r="CF154" s="45"/>
      <c r="CG154" s="44"/>
      <c r="CH154" s="45"/>
      <c r="CI154" s="44"/>
      <c r="CJ154" s="112" t="str">
        <f>REPLACE(INDEX(GroupVertices[Group],MATCH("~"&amp;Vertices[[#This Row],[Vertex]],GroupVertices[Vertex],0)),1,1,"")</f>
        <v>20</v>
      </c>
      <c r="CK154" s="44"/>
      <c r="CL154" s="44"/>
      <c r="CM154" s="44"/>
      <c r="CN154" s="44"/>
      <c r="CO154" s="2"/>
    </row>
    <row r="155" spans="1:93" ht="41.45" customHeight="1">
      <c r="A155" s="59" t="s">
        <v>355</v>
      </c>
      <c r="C155" s="60"/>
      <c r="D155" s="60" t="s">
        <v>64</v>
      </c>
      <c r="E155" s="61">
        <v>1.5</v>
      </c>
      <c r="F155" s="63"/>
      <c r="G155" s="92" t="str">
        <f>HYPERLINK("https://pbs.twimg.com/profile_images/1563899889490317312/uSPgREUd_normal.jpg")</f>
        <v>https://pbs.twimg.com/profile_images/1563899889490317312/uSPgREUd_normal.jpg</v>
      </c>
      <c r="H155" s="60"/>
      <c r="I155" s="64" t="str">
        <f>Vertices[[#This Row],[Vertex]]</f>
        <v>tan_mar3m</v>
      </c>
      <c r="J155" s="65"/>
      <c r="K155" s="65"/>
      <c r="L155" s="64"/>
      <c r="M155" s="68"/>
      <c r="N155" s="69">
        <v>9067.603515625</v>
      </c>
      <c r="O155" s="69">
        <v>7724.447265625</v>
      </c>
      <c r="P155" s="70"/>
      <c r="Q155" s="71"/>
      <c r="R155" s="71"/>
      <c r="S155" s="78"/>
      <c r="T155" s="44">
        <v>1</v>
      </c>
      <c r="U155" s="44">
        <v>0</v>
      </c>
      <c r="V155" s="45">
        <v>0</v>
      </c>
      <c r="W155" s="45">
        <v>0.005168</v>
      </c>
      <c r="X155" s="45">
        <v>0</v>
      </c>
      <c r="Y155" s="45">
        <v>0.003609</v>
      </c>
      <c r="Z155" s="45">
        <v>0</v>
      </c>
      <c r="AA155" s="45">
        <v>0</v>
      </c>
      <c r="AB155" s="66">
        <v>155</v>
      </c>
      <c r="AC1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5" s="67"/>
      <c r="AE155" t="s">
        <v>1573</v>
      </c>
      <c r="AF155" s="74" t="s">
        <v>1332</v>
      </c>
      <c r="AG155">
        <v>96246</v>
      </c>
      <c r="AH155">
        <v>4710</v>
      </c>
      <c r="AI155">
        <v>75571</v>
      </c>
      <c r="AJ155">
        <v>29</v>
      </c>
      <c r="AK155">
        <v>67754</v>
      </c>
      <c r="AL155">
        <v>10143</v>
      </c>
      <c r="AM155" t="b">
        <v>0</v>
      </c>
      <c r="AN155" s="73">
        <v>43993.309537037036</v>
      </c>
      <c r="AW155">
        <v>1.71627753704172E+18</v>
      </c>
      <c r="AY155" t="b">
        <v>0</v>
      </c>
      <c r="BB155" t="b">
        <v>0</v>
      </c>
      <c r="BC155" t="b">
        <v>0</v>
      </c>
      <c r="BD155" t="b">
        <v>1</v>
      </c>
      <c r="BE155" t="b">
        <v>0</v>
      </c>
      <c r="BF155" t="b">
        <v>1</v>
      </c>
      <c r="BG155" t="b">
        <v>0</v>
      </c>
      <c r="BH155" t="b">
        <v>0</v>
      </c>
      <c r="BI155" s="76" t="str">
        <f>HYPERLINK("https://pbs.twimg.com/profile_banners/1270980383761330176/1625562235")</f>
        <v>https://pbs.twimg.com/profile_banners/1270980383761330176/1625562235</v>
      </c>
      <c r="BK155" t="s">
        <v>2343</v>
      </c>
      <c r="BL155" t="b">
        <v>0</v>
      </c>
      <c r="BN155" t="s">
        <v>65</v>
      </c>
      <c r="BO155" t="s">
        <v>2345</v>
      </c>
      <c r="BP155" s="76" t="str">
        <f>HYPERLINK("https://twitter.com/tan_mar3m")</f>
        <v>https://twitter.com/tan_mar3m</v>
      </c>
      <c r="BQ155" s="44"/>
      <c r="BR155" s="44"/>
      <c r="BS155" s="44"/>
      <c r="BT155" s="44"/>
      <c r="BU155" s="44"/>
      <c r="BV155" s="44"/>
      <c r="BW155" s="44"/>
      <c r="BX155" s="44"/>
      <c r="BY155" s="44"/>
      <c r="BZ155" s="44"/>
      <c r="CA155" s="44"/>
      <c r="CB155" s="45"/>
      <c r="CC155" s="44"/>
      <c r="CD155" s="45"/>
      <c r="CE155" s="44"/>
      <c r="CF155" s="45"/>
      <c r="CG155" s="44"/>
      <c r="CH155" s="45"/>
      <c r="CI155" s="44"/>
      <c r="CJ155" s="112" t="str">
        <f>REPLACE(INDEX(GroupVertices[Group],MATCH("~"&amp;Vertices[[#This Row],[Vertex]],GroupVertices[Vertex],0)),1,1,"")</f>
        <v>22</v>
      </c>
      <c r="CK155" s="44"/>
      <c r="CL155" s="44"/>
      <c r="CM155" s="44"/>
      <c r="CN155" s="44"/>
      <c r="CO155" s="2"/>
    </row>
    <row r="156" spans="1:93" ht="41.45" customHeight="1">
      <c r="A156" s="59" t="s">
        <v>376</v>
      </c>
      <c r="C156" s="60"/>
      <c r="D156" s="60" t="s">
        <v>64</v>
      </c>
      <c r="E156" s="61">
        <v>1.5</v>
      </c>
      <c r="F156" s="63"/>
      <c r="G156" s="92" t="str">
        <f>HYPERLINK("https://pbs.twimg.com/profile_images/1280232217621303296/wFS6_6GP_normal.jpg")</f>
        <v>https://pbs.twimg.com/profile_images/1280232217621303296/wFS6_6GP_normal.jpg</v>
      </c>
      <c r="H156" s="60"/>
      <c r="I156" s="64" t="str">
        <f>Vertices[[#This Row],[Vertex]]</f>
        <v>__rismawidiono_</v>
      </c>
      <c r="J156" s="65"/>
      <c r="K156" s="65"/>
      <c r="L156" s="64"/>
      <c r="M156" s="68"/>
      <c r="N156" s="69">
        <v>8441.3291015625</v>
      </c>
      <c r="O156" s="69">
        <v>7724.45068359375</v>
      </c>
      <c r="P156" s="70"/>
      <c r="Q156" s="71"/>
      <c r="R156" s="71"/>
      <c r="S156" s="78"/>
      <c r="T156" s="44">
        <v>1</v>
      </c>
      <c r="U156" s="44">
        <v>0</v>
      </c>
      <c r="V156" s="45">
        <v>0</v>
      </c>
      <c r="W156" s="45">
        <v>0.005168</v>
      </c>
      <c r="X156" s="45">
        <v>0</v>
      </c>
      <c r="Y156" s="45">
        <v>0.003609</v>
      </c>
      <c r="Z156" s="45">
        <v>0</v>
      </c>
      <c r="AA156" s="45">
        <v>0</v>
      </c>
      <c r="AB156" s="66">
        <v>156</v>
      </c>
      <c r="AC1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6" s="67"/>
      <c r="AE156" t="s">
        <v>1612</v>
      </c>
      <c r="AF156" s="74" t="s">
        <v>1343</v>
      </c>
      <c r="AG156">
        <v>21410</v>
      </c>
      <c r="AH156">
        <v>2790</v>
      </c>
      <c r="AI156">
        <v>69912</v>
      </c>
      <c r="AJ156">
        <v>2</v>
      </c>
      <c r="AK156">
        <v>40804</v>
      </c>
      <c r="AL156">
        <v>4249</v>
      </c>
      <c r="AM156" t="b">
        <v>0</v>
      </c>
      <c r="AN156" s="73">
        <v>43081.320185185185</v>
      </c>
      <c r="AO156" t="s">
        <v>1940</v>
      </c>
      <c r="AP156" t="s">
        <v>2089</v>
      </c>
      <c r="AQ156" s="76" t="str">
        <f>HYPERLINK("https://t.co/640BZpGpmV")</f>
        <v>https://t.co/640BZpGpmV</v>
      </c>
      <c r="AR156" s="76" t="str">
        <f>HYPERLINK("https://www.youtube.com/channel/UCwstkq-HSOdk61zBvB4IqXA")</f>
        <v>https://www.youtube.com/channel/UCwstkq-HSOdk61zBvB4IqXA</v>
      </c>
      <c r="AS156" t="s">
        <v>2279</v>
      </c>
      <c r="AX156" s="76" t="str">
        <f>HYPERLINK("https://t.co/640BZpGpmV")</f>
        <v>https://t.co/640BZpGpmV</v>
      </c>
      <c r="AY156" t="b">
        <v>1</v>
      </c>
      <c r="BB156" t="b">
        <v>0</v>
      </c>
      <c r="BC156" t="b">
        <v>0</v>
      </c>
      <c r="BD156" t="b">
        <v>1</v>
      </c>
      <c r="BE156" t="b">
        <v>0</v>
      </c>
      <c r="BF156" t="b">
        <v>0</v>
      </c>
      <c r="BG156" t="b">
        <v>0</v>
      </c>
      <c r="BH156" t="b">
        <v>0</v>
      </c>
      <c r="BI156" s="76" t="str">
        <f>HYPERLINK("https://pbs.twimg.com/profile_banners/940486643546386432/1592380211")</f>
        <v>https://pbs.twimg.com/profile_banners/940486643546386432/1592380211</v>
      </c>
      <c r="BK156" t="s">
        <v>2343</v>
      </c>
      <c r="BL156" t="b">
        <v>0</v>
      </c>
      <c r="BN156" t="s">
        <v>65</v>
      </c>
      <c r="BO156" t="s">
        <v>2345</v>
      </c>
      <c r="BP156" s="76" t="str">
        <f>HYPERLINK("https://twitter.com/__rismawidiono_")</f>
        <v>https://twitter.com/__rismawidiono_</v>
      </c>
      <c r="BQ156" s="44"/>
      <c r="BR156" s="44"/>
      <c r="BS156" s="44"/>
      <c r="BT156" s="44"/>
      <c r="BU156" s="44"/>
      <c r="BV156" s="44"/>
      <c r="BW156" s="44"/>
      <c r="BX156" s="44"/>
      <c r="BY156" s="44"/>
      <c r="BZ156" s="44"/>
      <c r="CA156" s="44"/>
      <c r="CB156" s="45"/>
      <c r="CC156" s="44"/>
      <c r="CD156" s="45"/>
      <c r="CE156" s="44"/>
      <c r="CF156" s="45"/>
      <c r="CG156" s="44"/>
      <c r="CH156" s="45"/>
      <c r="CI156" s="44"/>
      <c r="CJ156" s="112" t="str">
        <f>REPLACE(INDEX(GroupVertices[Group],MATCH("~"&amp;Vertices[[#This Row],[Vertex]],GroupVertices[Vertex],0)),1,1,"")</f>
        <v>23</v>
      </c>
      <c r="CK156" s="44"/>
      <c r="CL156" s="44"/>
      <c r="CM156" s="44"/>
      <c r="CN156" s="44"/>
      <c r="CO156" s="2"/>
    </row>
    <row r="157" spans="1:93" ht="41.45" customHeight="1">
      <c r="A157" s="59" t="s">
        <v>379</v>
      </c>
      <c r="C157" s="60"/>
      <c r="D157" s="60" t="s">
        <v>64</v>
      </c>
      <c r="E157" s="61">
        <v>1.5</v>
      </c>
      <c r="F157" s="63"/>
      <c r="G157" s="92" t="str">
        <f>HYPERLINK("https://pbs.twimg.com/profile_images/1685935214823104513/9ToQZMPa_normal.jpg")</f>
        <v>https://pbs.twimg.com/profile_images/1685935214823104513/9ToQZMPa_normal.jpg</v>
      </c>
      <c r="H157" s="60"/>
      <c r="I157" s="64" t="str">
        <f>Vertices[[#This Row],[Vertex]]</f>
        <v>doankwarto</v>
      </c>
      <c r="J157" s="65"/>
      <c r="K157" s="65"/>
      <c r="L157" s="64"/>
      <c r="M157" s="68"/>
      <c r="N157" s="69">
        <v>8136.21728515625</v>
      </c>
      <c r="O157" s="69">
        <v>5359.822265625</v>
      </c>
      <c r="P157" s="70"/>
      <c r="Q157" s="71"/>
      <c r="R157" s="71"/>
      <c r="S157" s="78"/>
      <c r="T157" s="44">
        <v>1</v>
      </c>
      <c r="U157" s="44">
        <v>0</v>
      </c>
      <c r="V157" s="45">
        <v>0</v>
      </c>
      <c r="W157" s="45">
        <v>0.005168</v>
      </c>
      <c r="X157" s="45">
        <v>0</v>
      </c>
      <c r="Y157" s="45">
        <v>0.003609</v>
      </c>
      <c r="Z157" s="45">
        <v>0</v>
      </c>
      <c r="AA157" s="45">
        <v>0</v>
      </c>
      <c r="AB157" s="66">
        <v>157</v>
      </c>
      <c r="AC1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7" s="67"/>
      <c r="AE157" t="s">
        <v>1624</v>
      </c>
      <c r="AF157" s="74" t="s">
        <v>1828</v>
      </c>
      <c r="AG157">
        <v>12140</v>
      </c>
      <c r="AH157">
        <v>3004</v>
      </c>
      <c r="AI157">
        <v>25511</v>
      </c>
      <c r="AJ157">
        <v>8</v>
      </c>
      <c r="AK157">
        <v>57297</v>
      </c>
      <c r="AL157">
        <v>6786</v>
      </c>
      <c r="AM157" t="b">
        <v>0</v>
      </c>
      <c r="AN157" s="73">
        <v>43076.29267361111</v>
      </c>
      <c r="AO157" t="s">
        <v>996</v>
      </c>
      <c r="AP157" t="s">
        <v>2100</v>
      </c>
      <c r="AW157">
        <v>1.70198100163393E+18</v>
      </c>
      <c r="AY157" t="b">
        <v>0</v>
      </c>
      <c r="BB157" t="b">
        <v>0</v>
      </c>
      <c r="BC157" t="b">
        <v>0</v>
      </c>
      <c r="BD157" t="b">
        <v>1</v>
      </c>
      <c r="BE157" t="b">
        <v>0</v>
      </c>
      <c r="BF157" t="b">
        <v>1</v>
      </c>
      <c r="BG157" t="b">
        <v>0</v>
      </c>
      <c r="BH157" t="b">
        <v>0</v>
      </c>
      <c r="BI157" s="76" t="str">
        <f>HYPERLINK("https://pbs.twimg.com/profile_banners/938664737369341952/1669278471")</f>
        <v>https://pbs.twimg.com/profile_banners/938664737369341952/1669278471</v>
      </c>
      <c r="BK157" t="s">
        <v>2343</v>
      </c>
      <c r="BL157" t="b">
        <v>0</v>
      </c>
      <c r="BN157" t="s">
        <v>65</v>
      </c>
      <c r="BO157" t="s">
        <v>2345</v>
      </c>
      <c r="BP157" s="76" t="str">
        <f>HYPERLINK("https://twitter.com/doankwarto")</f>
        <v>https://twitter.com/doankwarto</v>
      </c>
      <c r="BQ157" s="44"/>
      <c r="BR157" s="44"/>
      <c r="BS157" s="44"/>
      <c r="BT157" s="44"/>
      <c r="BU157" s="44"/>
      <c r="BV157" s="44"/>
      <c r="BW157" s="44"/>
      <c r="BX157" s="44"/>
      <c r="BY157" s="44"/>
      <c r="BZ157" s="44"/>
      <c r="CA157" s="44"/>
      <c r="CB157" s="45"/>
      <c r="CC157" s="44"/>
      <c r="CD157" s="45"/>
      <c r="CE157" s="44"/>
      <c r="CF157" s="45"/>
      <c r="CG157" s="44"/>
      <c r="CH157" s="45"/>
      <c r="CI157" s="44"/>
      <c r="CJ157" s="112" t="str">
        <f>REPLACE(INDEX(GroupVertices[Group],MATCH("~"&amp;Vertices[[#This Row],[Vertex]],GroupVertices[Vertex],0)),1,1,"")</f>
        <v>21</v>
      </c>
      <c r="CK157" s="44"/>
      <c r="CL157" s="44"/>
      <c r="CM157" s="44"/>
      <c r="CN157" s="44"/>
      <c r="CO157" s="2"/>
    </row>
    <row r="158" spans="1:93" ht="41.45" customHeight="1">
      <c r="A158" s="59" t="s">
        <v>406</v>
      </c>
      <c r="C158" s="60"/>
      <c r="D158" s="60" t="s">
        <v>64</v>
      </c>
      <c r="E158" s="61">
        <v>1.5</v>
      </c>
      <c r="F158" s="63"/>
      <c r="G158" s="92" t="str">
        <f>HYPERLINK("https://pbs.twimg.com/profile_images/1513222131177656322/9E-tlDXM_normal.jpg")</f>
        <v>https://pbs.twimg.com/profile_images/1513222131177656322/9E-tlDXM_normal.jpg</v>
      </c>
      <c r="H158" s="60"/>
      <c r="I158" s="64" t="str">
        <f>Vertices[[#This Row],[Vertex]]</f>
        <v>iwi18297130</v>
      </c>
      <c r="J158" s="65"/>
      <c r="K158" s="65"/>
      <c r="L158" s="64"/>
      <c r="M158" s="68"/>
      <c r="N158" s="69">
        <v>8907.025390625</v>
      </c>
      <c r="O158" s="69">
        <v>9323.3916015625</v>
      </c>
      <c r="P158" s="70"/>
      <c r="Q158" s="71"/>
      <c r="R158" s="71"/>
      <c r="S158" s="78"/>
      <c r="T158" s="44">
        <v>1</v>
      </c>
      <c r="U158" s="44">
        <v>0</v>
      </c>
      <c r="V158" s="45">
        <v>0</v>
      </c>
      <c r="W158" s="45">
        <v>0.005168</v>
      </c>
      <c r="X158" s="45">
        <v>0</v>
      </c>
      <c r="Y158" s="45">
        <v>0.003609</v>
      </c>
      <c r="Z158" s="45">
        <v>0</v>
      </c>
      <c r="AA158" s="45">
        <v>0</v>
      </c>
      <c r="AB158" s="66">
        <v>158</v>
      </c>
      <c r="AC1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8" s="67"/>
      <c r="AE158" t="s">
        <v>1666</v>
      </c>
      <c r="AF158" s="74" t="s">
        <v>1362</v>
      </c>
      <c r="AG158">
        <v>901</v>
      </c>
      <c r="AH158">
        <v>1574</v>
      </c>
      <c r="AI158">
        <v>2918</v>
      </c>
      <c r="AJ158">
        <v>0</v>
      </c>
      <c r="AK158">
        <v>60</v>
      </c>
      <c r="AL158">
        <v>21</v>
      </c>
      <c r="AM158" t="b">
        <v>0</v>
      </c>
      <c r="AN158" s="73">
        <v>44659.508310185185</v>
      </c>
      <c r="AP158" t="s">
        <v>2137</v>
      </c>
      <c r="AY158" t="b">
        <v>0</v>
      </c>
      <c r="BB158" t="b">
        <v>0</v>
      </c>
      <c r="BC158" t="b">
        <v>1</v>
      </c>
      <c r="BD158" t="b">
        <v>1</v>
      </c>
      <c r="BE158" t="b">
        <v>0</v>
      </c>
      <c r="BF158" t="b">
        <v>1</v>
      </c>
      <c r="BG158" t="b">
        <v>0</v>
      </c>
      <c r="BH158" t="b">
        <v>0</v>
      </c>
      <c r="BK158" t="s">
        <v>2343</v>
      </c>
      <c r="BL158" t="b">
        <v>0</v>
      </c>
      <c r="BN158" t="s">
        <v>65</v>
      </c>
      <c r="BO158" t="s">
        <v>2345</v>
      </c>
      <c r="BP158" s="76" t="str">
        <f>HYPERLINK("https://twitter.com/iwi18297130")</f>
        <v>https://twitter.com/iwi18297130</v>
      </c>
      <c r="BQ158" s="44"/>
      <c r="BR158" s="44"/>
      <c r="BS158" s="44"/>
      <c r="BT158" s="44"/>
      <c r="BU158" s="44"/>
      <c r="BV158" s="44"/>
      <c r="BW158" s="44"/>
      <c r="BX158" s="44"/>
      <c r="BY158" s="44"/>
      <c r="BZ158" s="44"/>
      <c r="CA158" s="44"/>
      <c r="CB158" s="45"/>
      <c r="CC158" s="44"/>
      <c r="CD158" s="45"/>
      <c r="CE158" s="44"/>
      <c r="CF158" s="45"/>
      <c r="CG158" s="44"/>
      <c r="CH158" s="45"/>
      <c r="CI158" s="44"/>
      <c r="CJ158" s="112" t="str">
        <f>REPLACE(INDEX(GroupVertices[Group],MATCH("~"&amp;Vertices[[#This Row],[Vertex]],GroupVertices[Vertex],0)),1,1,"")</f>
        <v>24</v>
      </c>
      <c r="CK158" s="44"/>
      <c r="CL158" s="44"/>
      <c r="CM158" s="44"/>
      <c r="CN158" s="44"/>
      <c r="CO158" s="2"/>
    </row>
    <row r="159" spans="1:93" ht="41.45" customHeight="1">
      <c r="A159" s="59" t="s">
        <v>405</v>
      </c>
      <c r="C159" s="60"/>
      <c r="D159" s="60" t="s">
        <v>64</v>
      </c>
      <c r="E159" s="61">
        <v>1.5</v>
      </c>
      <c r="F159" s="63"/>
      <c r="G159" s="92" t="str">
        <f>HYPERLINK("https://pbs.twimg.com/profile_images/1418639576915079168/xpylMyoD_normal.jpg")</f>
        <v>https://pbs.twimg.com/profile_images/1418639576915079168/xpylMyoD_normal.jpg</v>
      </c>
      <c r="H159" s="60"/>
      <c r="I159" s="64" t="str">
        <f>Vertices[[#This Row],[Vertex]]</f>
        <v>mghufro38074283</v>
      </c>
      <c r="J159" s="65"/>
      <c r="K159" s="65"/>
      <c r="L159" s="64"/>
      <c r="M159" s="68"/>
      <c r="N159" s="69">
        <v>8601.9169921875</v>
      </c>
      <c r="O159" s="69">
        <v>7724.44873046875</v>
      </c>
      <c r="P159" s="70"/>
      <c r="Q159" s="71"/>
      <c r="R159" s="71"/>
      <c r="S159" s="78"/>
      <c r="T159" s="44">
        <v>1</v>
      </c>
      <c r="U159" s="44">
        <v>0</v>
      </c>
      <c r="V159" s="45">
        <v>0</v>
      </c>
      <c r="W159" s="45">
        <v>0.005168</v>
      </c>
      <c r="X159" s="45">
        <v>0</v>
      </c>
      <c r="Y159" s="45">
        <v>0.003609</v>
      </c>
      <c r="Z159" s="45">
        <v>0</v>
      </c>
      <c r="AA159" s="45">
        <v>0</v>
      </c>
      <c r="AB159" s="66">
        <v>159</v>
      </c>
      <c r="AC1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9" s="67"/>
      <c r="AE159" t="s">
        <v>1665</v>
      </c>
      <c r="AF159" s="74" t="s">
        <v>1845</v>
      </c>
      <c r="AG159">
        <v>531</v>
      </c>
      <c r="AH159">
        <v>0</v>
      </c>
      <c r="AI159">
        <v>10941</v>
      </c>
      <c r="AJ159">
        <v>0</v>
      </c>
      <c r="AK159">
        <v>24157</v>
      </c>
      <c r="AL159">
        <v>394</v>
      </c>
      <c r="AM159" t="b">
        <v>0</v>
      </c>
      <c r="AN159" s="73">
        <v>44400.769849537035</v>
      </c>
      <c r="AY159" t="b">
        <v>0</v>
      </c>
      <c r="BB159" t="b">
        <v>0</v>
      </c>
      <c r="BC159" t="b">
        <v>1</v>
      </c>
      <c r="BD159" t="b">
        <v>1</v>
      </c>
      <c r="BE159" t="b">
        <v>0</v>
      </c>
      <c r="BF159" t="b">
        <v>0</v>
      </c>
      <c r="BG159" t="b">
        <v>0</v>
      </c>
      <c r="BH159" t="b">
        <v>0</v>
      </c>
      <c r="BK159" t="s">
        <v>2343</v>
      </c>
      <c r="BL159" t="b">
        <v>0</v>
      </c>
      <c r="BN159" t="s">
        <v>65</v>
      </c>
      <c r="BO159" t="s">
        <v>2345</v>
      </c>
      <c r="BP159" s="76" t="str">
        <f>HYPERLINK("https://twitter.com/mghufro38074283")</f>
        <v>https://twitter.com/mghufro38074283</v>
      </c>
      <c r="BQ159" s="44"/>
      <c r="BR159" s="44"/>
      <c r="BS159" s="44"/>
      <c r="BT159" s="44"/>
      <c r="BU159" s="44"/>
      <c r="BV159" s="44"/>
      <c r="BW159" s="44"/>
      <c r="BX159" s="44"/>
      <c r="BY159" s="44"/>
      <c r="BZ159" s="44"/>
      <c r="CA159" s="44"/>
      <c r="CB159" s="45"/>
      <c r="CC159" s="44"/>
      <c r="CD159" s="45"/>
      <c r="CE159" s="44"/>
      <c r="CF159" s="45"/>
      <c r="CG159" s="44"/>
      <c r="CH159" s="45"/>
      <c r="CI159" s="44"/>
      <c r="CJ159" s="112" t="str">
        <f>REPLACE(INDEX(GroupVertices[Group],MATCH("~"&amp;Vertices[[#This Row],[Vertex]],GroupVertices[Vertex],0)),1,1,"")</f>
        <v>24</v>
      </c>
      <c r="CK159" s="44"/>
      <c r="CL159" s="44"/>
      <c r="CM159" s="44"/>
      <c r="CN159" s="44"/>
      <c r="CO159" s="2"/>
    </row>
    <row r="160" spans="1:93" ht="41.45" customHeight="1">
      <c r="A160" s="59" t="s">
        <v>380</v>
      </c>
      <c r="C160" s="60"/>
      <c r="D160" s="60" t="s">
        <v>64</v>
      </c>
      <c r="E160" s="61">
        <v>1.5</v>
      </c>
      <c r="F160" s="63"/>
      <c r="G160" s="92" t="str">
        <f>HYPERLINK("https://pbs.twimg.com/profile_images/1673208894703951872/P_saJc7t_normal.jpg")</f>
        <v>https://pbs.twimg.com/profile_images/1673208894703951872/P_saJc7t_normal.jpg</v>
      </c>
      <c r="H160" s="60"/>
      <c r="I160" s="64" t="str">
        <f>Vertices[[#This Row],[Vertex]]</f>
        <v>abajijeh</v>
      </c>
      <c r="J160" s="65"/>
      <c r="K160" s="65"/>
      <c r="L160" s="64"/>
      <c r="M160" s="68"/>
      <c r="N160" s="69">
        <v>8430.6201171875</v>
      </c>
      <c r="O160" s="69">
        <v>7048.8447265625</v>
      </c>
      <c r="P160" s="70"/>
      <c r="Q160" s="71"/>
      <c r="R160" s="71"/>
      <c r="S160" s="78"/>
      <c r="T160" s="44">
        <v>1</v>
      </c>
      <c r="U160" s="44">
        <v>0</v>
      </c>
      <c r="V160" s="45">
        <v>0</v>
      </c>
      <c r="W160" s="45">
        <v>0.005168</v>
      </c>
      <c r="X160" s="45">
        <v>0</v>
      </c>
      <c r="Y160" s="45">
        <v>0.003609</v>
      </c>
      <c r="Z160" s="45">
        <v>0</v>
      </c>
      <c r="AA160" s="45">
        <v>0</v>
      </c>
      <c r="AB160" s="66">
        <v>160</v>
      </c>
      <c r="AC1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0" s="67"/>
      <c r="AE160" t="s">
        <v>1625</v>
      </c>
      <c r="AF160" s="74" t="s">
        <v>1347</v>
      </c>
      <c r="AG160">
        <v>6</v>
      </c>
      <c r="AH160">
        <v>153</v>
      </c>
      <c r="AI160">
        <v>343</v>
      </c>
      <c r="AJ160">
        <v>0</v>
      </c>
      <c r="AK160">
        <v>178</v>
      </c>
      <c r="AL160">
        <v>1</v>
      </c>
      <c r="AM160" t="b">
        <v>0</v>
      </c>
      <c r="AN160" s="73">
        <v>44817.00685185185</v>
      </c>
      <c r="AP160" t="s">
        <v>2101</v>
      </c>
      <c r="AY160" t="b">
        <v>0</v>
      </c>
      <c r="BB160" t="b">
        <v>0</v>
      </c>
      <c r="BC160" t="b">
        <v>1</v>
      </c>
      <c r="BD160" t="b">
        <v>1</v>
      </c>
      <c r="BE160" t="b">
        <v>0</v>
      </c>
      <c r="BF160" t="b">
        <v>0</v>
      </c>
      <c r="BG160" t="b">
        <v>0</v>
      </c>
      <c r="BH160" t="b">
        <v>0</v>
      </c>
      <c r="BK160" t="s">
        <v>2343</v>
      </c>
      <c r="BL160" t="b">
        <v>0</v>
      </c>
      <c r="BN160" t="s">
        <v>65</v>
      </c>
      <c r="BO160" t="s">
        <v>2345</v>
      </c>
      <c r="BP160" s="76" t="str">
        <f>HYPERLINK("https://twitter.com/abajijeh")</f>
        <v>https://twitter.com/abajijeh</v>
      </c>
      <c r="BQ160" s="44"/>
      <c r="BR160" s="44"/>
      <c r="BS160" s="44"/>
      <c r="BT160" s="44"/>
      <c r="BU160" s="44"/>
      <c r="BV160" s="44"/>
      <c r="BW160" s="44"/>
      <c r="BX160" s="44"/>
      <c r="BY160" s="44"/>
      <c r="BZ160" s="44"/>
      <c r="CA160" s="44"/>
      <c r="CB160" s="45"/>
      <c r="CC160" s="44"/>
      <c r="CD160" s="45"/>
      <c r="CE160" s="44"/>
      <c r="CF160" s="45"/>
      <c r="CG160" s="44"/>
      <c r="CH160" s="45"/>
      <c r="CI160" s="44"/>
      <c r="CJ160" s="112" t="str">
        <f>REPLACE(INDEX(GroupVertices[Group],MATCH("~"&amp;Vertices[[#This Row],[Vertex]],GroupVertices[Vertex],0)),1,1,"")</f>
        <v>21</v>
      </c>
      <c r="CK160" s="44"/>
      <c r="CL160" s="44"/>
      <c r="CM160" s="44"/>
      <c r="CN160" s="44"/>
      <c r="CO160" s="2"/>
    </row>
    <row r="161" spans="1:93" ht="41.45" customHeight="1">
      <c r="A161" s="59" t="s">
        <v>462</v>
      </c>
      <c r="C161" s="60"/>
      <c r="D161" s="60" t="s">
        <v>64</v>
      </c>
      <c r="E161" s="61">
        <v>1.5</v>
      </c>
      <c r="F161" s="63"/>
      <c r="G161" s="92" t="str">
        <f>HYPERLINK("https://pbs.twimg.com/profile_images/1427292844612595720/RC1YSvuT_normal.jpg")</f>
        <v>https://pbs.twimg.com/profile_images/1427292844612595720/RC1YSvuT_normal.jpg</v>
      </c>
      <c r="H161" s="60"/>
      <c r="I161" s="64" t="str">
        <f>Vertices[[#This Row],[Vertex]]</f>
        <v>youtube</v>
      </c>
      <c r="J161" s="65"/>
      <c r="K161" s="65"/>
      <c r="L161" s="64"/>
      <c r="M161" s="68"/>
      <c r="N161" s="69">
        <v>9383.3544921875</v>
      </c>
      <c r="O161" s="69">
        <v>1148.5516357421875</v>
      </c>
      <c r="P161" s="70"/>
      <c r="Q161" s="71"/>
      <c r="R161" s="71"/>
      <c r="S161" s="78"/>
      <c r="T161" s="44">
        <v>1</v>
      </c>
      <c r="U161" s="44">
        <v>0</v>
      </c>
      <c r="V161" s="45">
        <v>0</v>
      </c>
      <c r="W161" s="45">
        <v>0.003876</v>
      </c>
      <c r="X161" s="45">
        <v>0</v>
      </c>
      <c r="Y161" s="45">
        <v>0.003861</v>
      </c>
      <c r="Z161" s="45">
        <v>0</v>
      </c>
      <c r="AA161" s="45">
        <v>0</v>
      </c>
      <c r="AB161" s="66">
        <v>161</v>
      </c>
      <c r="AC1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1" s="67"/>
      <c r="AE161" t="s">
        <v>1730</v>
      </c>
      <c r="AF161" s="74" t="s">
        <v>1897</v>
      </c>
      <c r="AG161">
        <v>79634816</v>
      </c>
      <c r="AH161">
        <v>1175</v>
      </c>
      <c r="AI161">
        <v>57141</v>
      </c>
      <c r="AJ161">
        <v>79783</v>
      </c>
      <c r="AK161">
        <v>6177</v>
      </c>
      <c r="AL161">
        <v>15726</v>
      </c>
      <c r="AM161" t="b">
        <v>0</v>
      </c>
      <c r="AN161" s="73">
        <v>39399.90539351852</v>
      </c>
      <c r="AO161" t="s">
        <v>1995</v>
      </c>
      <c r="AP161" t="s">
        <v>2196</v>
      </c>
      <c r="AQ161" s="76" t="str">
        <f>HYPERLINK("https://t.co/bUisN3Y1A6")</f>
        <v>https://t.co/bUisN3Y1A6</v>
      </c>
      <c r="AR161" s="76" t="str">
        <f>HYPERLINK("http://youtube.com")</f>
        <v>http://youtube.com</v>
      </c>
      <c r="AS161" t="s">
        <v>2312</v>
      </c>
      <c r="AX161" s="76" t="str">
        <f>HYPERLINK("https://t.co/bUisN3Y1A6")</f>
        <v>https://t.co/bUisN3Y1A6</v>
      </c>
      <c r="AY161" t="b">
        <v>1</v>
      </c>
      <c r="BB161" t="b">
        <v>0</v>
      </c>
      <c r="BC161" t="b">
        <v>1</v>
      </c>
      <c r="BD161" t="b">
        <v>0</v>
      </c>
      <c r="BE161" t="b">
        <v>0</v>
      </c>
      <c r="BF161" t="b">
        <v>1</v>
      </c>
      <c r="BG161" t="b">
        <v>0</v>
      </c>
      <c r="BH161" t="b">
        <v>0</v>
      </c>
      <c r="BI161" s="76" t="str">
        <f>HYPERLINK("https://pbs.twimg.com/profile_banners/10228272/1697646656")</f>
        <v>https://pbs.twimg.com/profile_banners/10228272/1697646656</v>
      </c>
      <c r="BK161" t="s">
        <v>2344</v>
      </c>
      <c r="BL161" t="b">
        <v>0</v>
      </c>
      <c r="BN161" t="s">
        <v>65</v>
      </c>
      <c r="BO161" t="s">
        <v>2345</v>
      </c>
      <c r="BP161" s="76" t="str">
        <f>HYPERLINK("https://twitter.com/youtube")</f>
        <v>https://twitter.com/youtube</v>
      </c>
      <c r="BQ161" s="44"/>
      <c r="BR161" s="44"/>
      <c r="BS161" s="44"/>
      <c r="BT161" s="44"/>
      <c r="BU161" s="44"/>
      <c r="BV161" s="44"/>
      <c r="BW161" s="44"/>
      <c r="BX161" s="44"/>
      <c r="BY161" s="44"/>
      <c r="BZ161" s="44"/>
      <c r="CA161" s="44"/>
      <c r="CB161" s="45"/>
      <c r="CC161" s="44"/>
      <c r="CD161" s="45"/>
      <c r="CE161" s="44"/>
      <c r="CF161" s="45"/>
      <c r="CG161" s="44"/>
      <c r="CH161" s="45"/>
      <c r="CI161" s="44"/>
      <c r="CJ161" s="112" t="str">
        <f>REPLACE(INDEX(GroupVertices[Group],MATCH("~"&amp;Vertices[[#This Row],[Vertex]],GroupVertices[Vertex],0)),1,1,"")</f>
        <v>30</v>
      </c>
      <c r="CK161" s="44"/>
      <c r="CL161" s="44"/>
      <c r="CM161" s="44"/>
      <c r="CN161" s="44"/>
      <c r="CO161" s="2"/>
    </row>
    <row r="162" spans="1:93" ht="41.45" customHeight="1">
      <c r="A162" s="59" t="s">
        <v>477</v>
      </c>
      <c r="C162" s="60"/>
      <c r="D162" s="60" t="s">
        <v>64</v>
      </c>
      <c r="E162" s="61">
        <v>1.5</v>
      </c>
      <c r="F162" s="63"/>
      <c r="G162" s="92" t="str">
        <f>HYPERLINK("https://pbs.twimg.com/profile_images/940416362878398464/ukDDvcBO_normal.jpg")</f>
        <v>https://pbs.twimg.com/profile_images/940416362878398464/ukDDvcBO_normal.jpg</v>
      </c>
      <c r="H162" s="60"/>
      <c r="I162" s="64" t="str">
        <f>Vertices[[#This Row],[Vertex]]</f>
        <v>susipudjiastuti</v>
      </c>
      <c r="J162" s="65"/>
      <c r="K162" s="65"/>
      <c r="L162" s="64"/>
      <c r="M162" s="68"/>
      <c r="N162" s="69">
        <v>9838.326171875</v>
      </c>
      <c r="O162" s="69">
        <v>1823.9962158203125</v>
      </c>
      <c r="P162" s="70"/>
      <c r="Q162" s="71"/>
      <c r="R162" s="71"/>
      <c r="S162" s="78"/>
      <c r="T162" s="44">
        <v>1</v>
      </c>
      <c r="U162" s="44">
        <v>0</v>
      </c>
      <c r="V162" s="45">
        <v>0</v>
      </c>
      <c r="W162" s="45">
        <v>0.003876</v>
      </c>
      <c r="X162" s="45">
        <v>0</v>
      </c>
      <c r="Y162" s="45">
        <v>0.003861</v>
      </c>
      <c r="Z162" s="45">
        <v>0</v>
      </c>
      <c r="AA162" s="45">
        <v>0</v>
      </c>
      <c r="AB162" s="66">
        <v>162</v>
      </c>
      <c r="AC1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2" s="67"/>
      <c r="AE162" t="s">
        <v>1774</v>
      </c>
      <c r="AF162" s="74" t="s">
        <v>1382</v>
      </c>
      <c r="AG162">
        <v>3487573</v>
      </c>
      <c r="AH162">
        <v>1657</v>
      </c>
      <c r="AI162">
        <v>54232</v>
      </c>
      <c r="AJ162">
        <v>781</v>
      </c>
      <c r="AK162">
        <v>59015</v>
      </c>
      <c r="AL162">
        <v>5932</v>
      </c>
      <c r="AM162" t="b">
        <v>0</v>
      </c>
      <c r="AN162" s="73">
        <v>41825.926458333335</v>
      </c>
      <c r="AO162" t="s">
        <v>996</v>
      </c>
      <c r="AP162" t="s">
        <v>2236</v>
      </c>
      <c r="AQ162" s="76" t="str">
        <f>HYPERLINK("https://t.co/eBbWLBNICL")</f>
        <v>https://t.co/eBbWLBNICL</v>
      </c>
      <c r="AR162" s="76" t="str">
        <f>HYPERLINK("https://www.youtube.com/watch?v=ZymvoSp40CA")</f>
        <v>https://www.youtube.com/watch?v=ZymvoSp40CA</v>
      </c>
      <c r="AS162" t="s">
        <v>2322</v>
      </c>
      <c r="AW162">
        <v>1.72693508527722E+18</v>
      </c>
      <c r="AX162" s="76" t="str">
        <f>HYPERLINK("https://t.co/eBbWLBNICL")</f>
        <v>https://t.co/eBbWLBNICL</v>
      </c>
      <c r="AY162" t="b">
        <v>1</v>
      </c>
      <c r="BB162" t="b">
        <v>1</v>
      </c>
      <c r="BC162" t="b">
        <v>0</v>
      </c>
      <c r="BD162" t="b">
        <v>0</v>
      </c>
      <c r="BE162" t="b">
        <v>0</v>
      </c>
      <c r="BF162" t="b">
        <v>1</v>
      </c>
      <c r="BG162" t="b">
        <v>0</v>
      </c>
      <c r="BH162" t="b">
        <v>0</v>
      </c>
      <c r="BI162" s="76" t="str">
        <f>HYPERLINK("https://pbs.twimg.com/profile_banners/2606229566/1423482204")</f>
        <v>https://pbs.twimg.com/profile_banners/2606229566/1423482204</v>
      </c>
      <c r="BK162" t="s">
        <v>2343</v>
      </c>
      <c r="BL162" t="b">
        <v>0</v>
      </c>
      <c r="BN162" t="s">
        <v>65</v>
      </c>
      <c r="BO162" t="s">
        <v>2345</v>
      </c>
      <c r="BP162" s="76" t="str">
        <f>HYPERLINK("https://twitter.com/susipudjiastuti")</f>
        <v>https://twitter.com/susipudjiastuti</v>
      </c>
      <c r="BQ162" s="44"/>
      <c r="BR162" s="44"/>
      <c r="BS162" s="44"/>
      <c r="BT162" s="44"/>
      <c r="BU162" s="44"/>
      <c r="BV162" s="44"/>
      <c r="BW162" s="44"/>
      <c r="BX162" s="44"/>
      <c r="BY162" s="44"/>
      <c r="BZ162" s="44"/>
      <c r="CA162" s="44"/>
      <c r="CB162" s="45"/>
      <c r="CC162" s="44"/>
      <c r="CD162" s="45"/>
      <c r="CE162" s="44"/>
      <c r="CF162" s="45"/>
      <c r="CG162" s="44"/>
      <c r="CH162" s="45"/>
      <c r="CI162" s="44"/>
      <c r="CJ162" s="112" t="str">
        <f>REPLACE(INDEX(GroupVertices[Group],MATCH("~"&amp;Vertices[[#This Row],[Vertex]],GroupVertices[Vertex],0)),1,1,"")</f>
        <v>29</v>
      </c>
      <c r="CK162" s="44"/>
      <c r="CL162" s="44"/>
      <c r="CM162" s="44"/>
      <c r="CN162" s="44"/>
      <c r="CO162" s="2"/>
    </row>
    <row r="163" spans="1:93" ht="41.45" customHeight="1">
      <c r="A163" s="59" t="s">
        <v>467</v>
      </c>
      <c r="C163" s="60"/>
      <c r="D163" s="60" t="s">
        <v>64</v>
      </c>
      <c r="E163" s="61">
        <v>1.5</v>
      </c>
      <c r="F163" s="63"/>
      <c r="G163" s="92" t="str">
        <f>HYPERLINK("https://pbs.twimg.com/profile_images/1563874537254813696/MYewW2S6_normal.png")</f>
        <v>https://pbs.twimg.com/profile_images/1563874537254813696/MYewW2S6_normal.png</v>
      </c>
      <c r="H163" s="60"/>
      <c r="I163" s="64" t="str">
        <f>Vertices[[#This Row],[Vertex]]</f>
        <v>convomf</v>
      </c>
      <c r="J163" s="65"/>
      <c r="K163" s="65"/>
      <c r="L163" s="64"/>
      <c r="M163" s="68"/>
      <c r="N163" s="69">
        <v>8976.529296875</v>
      </c>
      <c r="O163" s="69">
        <v>1734.0999755859375</v>
      </c>
      <c r="P163" s="70"/>
      <c r="Q163" s="71"/>
      <c r="R163" s="71"/>
      <c r="S163" s="78"/>
      <c r="T163" s="44">
        <v>1</v>
      </c>
      <c r="U163" s="44">
        <v>0</v>
      </c>
      <c r="V163" s="45">
        <v>0</v>
      </c>
      <c r="W163" s="45">
        <v>0.003876</v>
      </c>
      <c r="X163" s="45">
        <v>0</v>
      </c>
      <c r="Y163" s="45">
        <v>0.003861</v>
      </c>
      <c r="Z163" s="45">
        <v>0</v>
      </c>
      <c r="AA163" s="45">
        <v>0</v>
      </c>
      <c r="AB163" s="66">
        <v>163</v>
      </c>
      <c r="AC1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3" s="67"/>
      <c r="AE163" t="s">
        <v>1748</v>
      </c>
      <c r="AF163" s="74" t="s">
        <v>1377</v>
      </c>
      <c r="AG163">
        <v>1295835</v>
      </c>
      <c r="AH163">
        <v>3498</v>
      </c>
      <c r="AI163">
        <v>1255303</v>
      </c>
      <c r="AJ163">
        <v>9551</v>
      </c>
      <c r="AK163">
        <v>93</v>
      </c>
      <c r="AL163">
        <v>303725</v>
      </c>
      <c r="AM163" t="b">
        <v>0</v>
      </c>
      <c r="AN163" s="73">
        <v>44114.71210648148</v>
      </c>
      <c r="AP163" t="s">
        <v>2214</v>
      </c>
      <c r="AQ163" s="76" t="str">
        <f>HYPERLINK("https://t.co/KH18SSIWLA")</f>
        <v>https://t.co/KH18SSIWLA</v>
      </c>
      <c r="AR163" s="76" t="str">
        <f>HYPERLINK("http://aturanmenfess.carrd.co")</f>
        <v>http://aturanmenfess.carrd.co</v>
      </c>
      <c r="AS163" t="s">
        <v>2316</v>
      </c>
      <c r="AW163">
        <v>1.71636308914963E+18</v>
      </c>
      <c r="AX163" s="76" t="str">
        <f>HYPERLINK("https://t.co/KH18SSIWLA")</f>
        <v>https://t.co/KH18SSIWLA</v>
      </c>
      <c r="AY163" t="b">
        <v>1</v>
      </c>
      <c r="BB163" t="b">
        <v>0</v>
      </c>
      <c r="BC163" t="b">
        <v>0</v>
      </c>
      <c r="BD163" t="b">
        <v>1</v>
      </c>
      <c r="BE163" t="b">
        <v>0</v>
      </c>
      <c r="BF163" t="b">
        <v>1</v>
      </c>
      <c r="BG163" t="b">
        <v>0</v>
      </c>
      <c r="BH163" t="b">
        <v>0</v>
      </c>
      <c r="BI163" s="76" t="str">
        <f>HYPERLINK("https://pbs.twimg.com/profile_banners/1314975287294083073/1661691723")</f>
        <v>https://pbs.twimg.com/profile_banners/1314975287294083073/1661691723</v>
      </c>
      <c r="BK163" t="s">
        <v>2343</v>
      </c>
      <c r="BL163" t="b">
        <v>0</v>
      </c>
      <c r="BN163" t="s">
        <v>65</v>
      </c>
      <c r="BO163" t="s">
        <v>2345</v>
      </c>
      <c r="BP163" s="76" t="str">
        <f>HYPERLINK("https://twitter.com/convomf")</f>
        <v>https://twitter.com/convomf</v>
      </c>
      <c r="BQ163" s="44"/>
      <c r="BR163" s="44"/>
      <c r="BS163" s="44"/>
      <c r="BT163" s="44"/>
      <c r="BU163" s="44"/>
      <c r="BV163" s="44"/>
      <c r="BW163" s="44"/>
      <c r="BX163" s="44"/>
      <c r="BY163" s="44"/>
      <c r="BZ163" s="44"/>
      <c r="CA163" s="44"/>
      <c r="CB163" s="45"/>
      <c r="CC163" s="44"/>
      <c r="CD163" s="45"/>
      <c r="CE163" s="44"/>
      <c r="CF163" s="45"/>
      <c r="CG163" s="44"/>
      <c r="CH163" s="45"/>
      <c r="CI163" s="44"/>
      <c r="CJ163" s="112" t="str">
        <f>REPLACE(INDEX(GroupVertices[Group],MATCH("~"&amp;Vertices[[#This Row],[Vertex]],GroupVertices[Vertex],0)),1,1,"")</f>
        <v>31</v>
      </c>
      <c r="CK163" s="44"/>
      <c r="CL163" s="44"/>
      <c r="CM163" s="44"/>
      <c r="CN163" s="44"/>
      <c r="CO163" s="2"/>
    </row>
    <row r="164" spans="1:93" ht="41.45" customHeight="1">
      <c r="A164" s="59" t="s">
        <v>382</v>
      </c>
      <c r="C164" s="60"/>
      <c r="D164" s="60" t="s">
        <v>64</v>
      </c>
      <c r="E164" s="61">
        <v>1.5</v>
      </c>
      <c r="F164" s="63"/>
      <c r="G164" s="92" t="str">
        <f>HYPERLINK("https://pbs.twimg.com/profile_images/1598573955513692160/leorpOyo_normal.jpg")</f>
        <v>https://pbs.twimg.com/profile_images/1598573955513692160/leorpOyo_normal.jpg</v>
      </c>
      <c r="H164" s="60"/>
      <c r="I164" s="64" t="str">
        <f>Vertices[[#This Row],[Vertex]]</f>
        <v>bisniscom</v>
      </c>
      <c r="J164" s="65"/>
      <c r="K164" s="65"/>
      <c r="L164" s="64"/>
      <c r="M164" s="68"/>
      <c r="N164" s="69">
        <v>8430.5751953125</v>
      </c>
      <c r="O164" s="69">
        <v>3805.933837890625</v>
      </c>
      <c r="P164" s="70"/>
      <c r="Q164" s="71"/>
      <c r="R164" s="71"/>
      <c r="S164" s="78"/>
      <c r="T164" s="44">
        <v>1</v>
      </c>
      <c r="U164" s="44">
        <v>0</v>
      </c>
      <c r="V164" s="45">
        <v>0</v>
      </c>
      <c r="W164" s="45">
        <v>0.003876</v>
      </c>
      <c r="X164" s="45">
        <v>0</v>
      </c>
      <c r="Y164" s="45">
        <v>0.003861</v>
      </c>
      <c r="Z164" s="45">
        <v>0</v>
      </c>
      <c r="AA164" s="45">
        <v>0</v>
      </c>
      <c r="AB164" s="66">
        <v>164</v>
      </c>
      <c r="AC1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4" s="67"/>
      <c r="AE164" t="s">
        <v>1629</v>
      </c>
      <c r="AF164" s="74" t="s">
        <v>1349</v>
      </c>
      <c r="AG164">
        <v>1144065</v>
      </c>
      <c r="AH164">
        <v>66</v>
      </c>
      <c r="AI164">
        <v>1505797</v>
      </c>
      <c r="AJ164">
        <v>1347</v>
      </c>
      <c r="AK164">
        <v>2778</v>
      </c>
      <c r="AL164">
        <v>507835</v>
      </c>
      <c r="AM164" t="b">
        <v>0</v>
      </c>
      <c r="AN164" s="73">
        <v>40238.414502314816</v>
      </c>
      <c r="AO164" t="s">
        <v>1957</v>
      </c>
      <c r="AP164" t="s">
        <v>2102</v>
      </c>
      <c r="AQ164" s="76" t="str">
        <f>HYPERLINK("https://t.co/UmfCt1Nfma")</f>
        <v>https://t.co/UmfCt1Nfma</v>
      </c>
      <c r="AR164" s="76" t="str">
        <f>HYPERLINK("http://www.bisnis.com")</f>
        <v>http://www.bisnis.com</v>
      </c>
      <c r="AS164" t="s">
        <v>2283</v>
      </c>
      <c r="AT164" s="76" t="str">
        <f>HYPERLINK("https://t.co/v4FxOxsw5z")</f>
        <v>https://t.co/v4FxOxsw5z</v>
      </c>
      <c r="AU164" s="76" t="str">
        <f>HYPERLINK("http://Bisnis.com")</f>
        <v>http://Bisnis.com</v>
      </c>
      <c r="AV164" t="s">
        <v>1629</v>
      </c>
      <c r="AX164" s="76" t="str">
        <f>HYPERLINK("https://t.co/UmfCt1Nfma")</f>
        <v>https://t.co/UmfCt1Nfma</v>
      </c>
      <c r="AY164" t="b">
        <v>1</v>
      </c>
      <c r="BB164" t="b">
        <v>0</v>
      </c>
      <c r="BC164" t="b">
        <v>0</v>
      </c>
      <c r="BD164" t="b">
        <v>0</v>
      </c>
      <c r="BE164" t="b">
        <v>0</v>
      </c>
      <c r="BF164" t="b">
        <v>1</v>
      </c>
      <c r="BG164" t="b">
        <v>0</v>
      </c>
      <c r="BH164" t="b">
        <v>0</v>
      </c>
      <c r="BI164" s="76" t="str">
        <f>HYPERLINK("https://pbs.twimg.com/profile_banners/118646322/1580662897")</f>
        <v>https://pbs.twimg.com/profile_banners/118646322/1580662897</v>
      </c>
      <c r="BK164" t="s">
        <v>2343</v>
      </c>
      <c r="BL164" t="b">
        <v>0</v>
      </c>
      <c r="BN164" t="s">
        <v>65</v>
      </c>
      <c r="BO164" t="s">
        <v>2345</v>
      </c>
      <c r="BP164" s="76" t="str">
        <f>HYPERLINK("https://twitter.com/bisniscom")</f>
        <v>https://twitter.com/bisniscom</v>
      </c>
      <c r="BQ164" s="44"/>
      <c r="BR164" s="44"/>
      <c r="BS164" s="44"/>
      <c r="BT164" s="44"/>
      <c r="BU164" s="44"/>
      <c r="BV164" s="44"/>
      <c r="BW164" s="44"/>
      <c r="BX164" s="44"/>
      <c r="BY164" s="44"/>
      <c r="BZ164" s="44"/>
      <c r="CA164" s="44"/>
      <c r="CB164" s="45"/>
      <c r="CC164" s="44"/>
      <c r="CD164" s="45"/>
      <c r="CE164" s="44"/>
      <c r="CF164" s="45"/>
      <c r="CG164" s="44"/>
      <c r="CH164" s="45"/>
      <c r="CI164" s="44"/>
      <c r="CJ164" s="112" t="str">
        <f>REPLACE(INDEX(GroupVertices[Group],MATCH("~"&amp;Vertices[[#This Row],[Vertex]],GroupVertices[Vertex],0)),1,1,"")</f>
        <v>36</v>
      </c>
      <c r="CK164" s="44"/>
      <c r="CL164" s="44"/>
      <c r="CM164" s="44"/>
      <c r="CN164" s="44"/>
      <c r="CO164" s="2"/>
    </row>
    <row r="165" spans="1:93" ht="41.45" customHeight="1">
      <c r="A165" s="59" t="s">
        <v>381</v>
      </c>
      <c r="C165" s="60"/>
      <c r="D165" s="60" t="s">
        <v>64</v>
      </c>
      <c r="E165" s="61">
        <v>1.5</v>
      </c>
      <c r="F165" s="63"/>
      <c r="G165" s="92" t="str">
        <f>HYPERLINK("https://pbs.twimg.com/profile_images/1456902933157597187/32XTuI1I_normal.jpg")</f>
        <v>https://pbs.twimg.com/profile_images/1456902933157597187/32XTuI1I_normal.jpg</v>
      </c>
      <c r="H165" s="60"/>
      <c r="I165" s="64" t="str">
        <f>Vertices[[#This Row],[Vertex]]</f>
        <v>ilctalkshow</v>
      </c>
      <c r="J165" s="65"/>
      <c r="K165" s="65"/>
      <c r="L165" s="64"/>
      <c r="M165" s="68"/>
      <c r="N165" s="69">
        <v>8901.6533203125</v>
      </c>
      <c r="O165" s="69">
        <v>6215.60009765625</v>
      </c>
      <c r="P165" s="70"/>
      <c r="Q165" s="71"/>
      <c r="R165" s="71"/>
      <c r="S165" s="78"/>
      <c r="T165" s="44">
        <v>1</v>
      </c>
      <c r="U165" s="44">
        <v>0</v>
      </c>
      <c r="V165" s="45">
        <v>0</v>
      </c>
      <c r="W165" s="45">
        <v>0.003876</v>
      </c>
      <c r="X165" s="45">
        <v>0</v>
      </c>
      <c r="Y165" s="45">
        <v>0.003861</v>
      </c>
      <c r="Z165" s="45">
        <v>0</v>
      </c>
      <c r="AA165" s="45">
        <v>0</v>
      </c>
      <c r="AB165" s="66">
        <v>165</v>
      </c>
      <c r="AC1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5" s="67"/>
      <c r="AE165" t="s">
        <v>1627</v>
      </c>
      <c r="AF165" s="74" t="s">
        <v>1348</v>
      </c>
      <c r="AG165">
        <v>881709</v>
      </c>
      <c r="AH165">
        <v>0</v>
      </c>
      <c r="AI165">
        <v>10749</v>
      </c>
      <c r="AJ165">
        <v>211</v>
      </c>
      <c r="AK165">
        <v>8431</v>
      </c>
      <c r="AL165">
        <v>9339</v>
      </c>
      <c r="AM165" t="b">
        <v>0</v>
      </c>
      <c r="AN165" s="73">
        <v>41730.344363425924</v>
      </c>
      <c r="AO165" t="s">
        <v>996</v>
      </c>
      <c r="AQ165" s="76" t="str">
        <f>HYPERLINK("https://t.co/oOw4YzfBMI")</f>
        <v>https://t.co/oOw4YzfBMI</v>
      </c>
      <c r="AR165" s="76" t="str">
        <f>HYPERLINK("https://youtube.com/c/IndonesiaLawyersClubReborn")</f>
        <v>https://youtube.com/c/IndonesiaLawyersClubReborn</v>
      </c>
      <c r="AS165" t="s">
        <v>2282</v>
      </c>
      <c r="AX165" s="76" t="str">
        <f>HYPERLINK("https://t.co/oOw4YzfBMI")</f>
        <v>https://t.co/oOw4YzfBMI</v>
      </c>
      <c r="AY165" t="b">
        <v>0</v>
      </c>
      <c r="BB165" t="b">
        <v>0</v>
      </c>
      <c r="BC165" t="b">
        <v>0</v>
      </c>
      <c r="BD165" t="b">
        <v>1</v>
      </c>
      <c r="BE165" t="b">
        <v>0</v>
      </c>
      <c r="BF165" t="b">
        <v>1</v>
      </c>
      <c r="BG165" t="b">
        <v>0</v>
      </c>
      <c r="BH165" t="b">
        <v>0</v>
      </c>
      <c r="BI165" s="76" t="str">
        <f>HYPERLINK("https://pbs.twimg.com/profile_banners/2421762716/1636187702")</f>
        <v>https://pbs.twimg.com/profile_banners/2421762716/1636187702</v>
      </c>
      <c r="BK165" t="s">
        <v>2343</v>
      </c>
      <c r="BL165" t="b">
        <v>0</v>
      </c>
      <c r="BN165" t="s">
        <v>65</v>
      </c>
      <c r="BO165" t="s">
        <v>2345</v>
      </c>
      <c r="BP165" s="76" t="str">
        <f>HYPERLINK("https://twitter.com/ilctalkshow")</f>
        <v>https://twitter.com/ilctalkshow</v>
      </c>
      <c r="BQ165" s="44"/>
      <c r="BR165" s="44"/>
      <c r="BS165" s="44"/>
      <c r="BT165" s="44"/>
      <c r="BU165" s="44"/>
      <c r="BV165" s="44"/>
      <c r="BW165" s="44"/>
      <c r="BX165" s="44"/>
      <c r="BY165" s="44"/>
      <c r="BZ165" s="44"/>
      <c r="CA165" s="44"/>
      <c r="CB165" s="45"/>
      <c r="CC165" s="44"/>
      <c r="CD165" s="45"/>
      <c r="CE165" s="44"/>
      <c r="CF165" s="45"/>
      <c r="CG165" s="44"/>
      <c r="CH165" s="45"/>
      <c r="CI165" s="44"/>
      <c r="CJ165" s="112" t="str">
        <f>REPLACE(INDEX(GroupVertices[Group],MATCH("~"&amp;Vertices[[#This Row],[Vertex]],GroupVertices[Vertex],0)),1,1,"")</f>
        <v>35</v>
      </c>
      <c r="CK165" s="44"/>
      <c r="CL165" s="44"/>
      <c r="CM165" s="44"/>
      <c r="CN165" s="44"/>
      <c r="CO165" s="2"/>
    </row>
    <row r="166" spans="1:93" ht="41.45" customHeight="1">
      <c r="A166" s="59" t="s">
        <v>469</v>
      </c>
      <c r="C166" s="60"/>
      <c r="D166" s="60" t="s">
        <v>64</v>
      </c>
      <c r="E166" s="61">
        <v>1.5</v>
      </c>
      <c r="F166" s="63"/>
      <c r="G166" s="92" t="str">
        <f>HYPERLINK("https://pbs.twimg.com/profile_images/1721446501795426304/AdDT32ck_normal.jpg")</f>
        <v>https://pbs.twimg.com/profile_images/1721446501795426304/AdDT32ck_normal.jpg</v>
      </c>
      <c r="H166" s="60"/>
      <c r="I166" s="64" t="str">
        <f>Vertices[[#This Row],[Vertex]]</f>
        <v>abu_waras</v>
      </c>
      <c r="J166" s="65"/>
      <c r="K166" s="65"/>
      <c r="L166" s="64"/>
      <c r="M166" s="68"/>
      <c r="N166" s="69">
        <v>8815.9716796875</v>
      </c>
      <c r="O166" s="69">
        <v>675.6019287109375</v>
      </c>
      <c r="P166" s="70"/>
      <c r="Q166" s="71"/>
      <c r="R166" s="71"/>
      <c r="S166" s="78"/>
      <c r="T166" s="44">
        <v>1</v>
      </c>
      <c r="U166" s="44">
        <v>0</v>
      </c>
      <c r="V166" s="45">
        <v>0</v>
      </c>
      <c r="W166" s="45">
        <v>0.003876</v>
      </c>
      <c r="X166" s="45">
        <v>0</v>
      </c>
      <c r="Y166" s="45">
        <v>0.003861</v>
      </c>
      <c r="Z166" s="45">
        <v>0</v>
      </c>
      <c r="AA166" s="45">
        <v>0</v>
      </c>
      <c r="AB166" s="66">
        <v>166</v>
      </c>
      <c r="AC1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6" s="67"/>
      <c r="AE166" t="s">
        <v>1753</v>
      </c>
      <c r="AF166" s="74" t="s">
        <v>1379</v>
      </c>
      <c r="AG166">
        <v>224145</v>
      </c>
      <c r="AH166">
        <v>6676</v>
      </c>
      <c r="AI166">
        <v>80009</v>
      </c>
      <c r="AJ166">
        <v>52</v>
      </c>
      <c r="AK166">
        <v>22850</v>
      </c>
      <c r="AL166">
        <v>7338</v>
      </c>
      <c r="AM166" t="b">
        <v>0</v>
      </c>
      <c r="AN166" s="73">
        <v>41964.33400462963</v>
      </c>
      <c r="AO166" t="s">
        <v>2002</v>
      </c>
      <c r="AP166" t="s">
        <v>2220</v>
      </c>
      <c r="AY166" t="b">
        <v>0</v>
      </c>
      <c r="BB166" t="b">
        <v>1</v>
      </c>
      <c r="BC166" t="b">
        <v>0</v>
      </c>
      <c r="BD166" t="b">
        <v>0</v>
      </c>
      <c r="BE166" t="b">
        <v>0</v>
      </c>
      <c r="BF166" t="b">
        <v>1</v>
      </c>
      <c r="BG166" t="b">
        <v>0</v>
      </c>
      <c r="BH166" t="b">
        <v>0</v>
      </c>
      <c r="BI166" s="76" t="str">
        <f>HYPERLINK("https://pbs.twimg.com/profile_banners/2905814730/1664778046")</f>
        <v>https://pbs.twimg.com/profile_banners/2905814730/1664778046</v>
      </c>
      <c r="BK166" t="s">
        <v>2343</v>
      </c>
      <c r="BL166" t="b">
        <v>0</v>
      </c>
      <c r="BN166" t="s">
        <v>65</v>
      </c>
      <c r="BO166" t="s">
        <v>2345</v>
      </c>
      <c r="BP166" s="76" t="str">
        <f>HYPERLINK("https://twitter.com/abu_waras")</f>
        <v>https://twitter.com/abu_waras</v>
      </c>
      <c r="BQ166" s="44"/>
      <c r="BR166" s="44"/>
      <c r="BS166" s="44"/>
      <c r="BT166" s="44"/>
      <c r="BU166" s="44"/>
      <c r="BV166" s="44"/>
      <c r="BW166" s="44"/>
      <c r="BX166" s="44"/>
      <c r="BY166" s="44"/>
      <c r="BZ166" s="44"/>
      <c r="CA166" s="44"/>
      <c r="CB166" s="45"/>
      <c r="CC166" s="44"/>
      <c r="CD166" s="45"/>
      <c r="CE166" s="44"/>
      <c r="CF166" s="45"/>
      <c r="CG166" s="44"/>
      <c r="CH166" s="45"/>
      <c r="CI166" s="44"/>
      <c r="CJ166" s="112" t="str">
        <f>REPLACE(INDEX(GroupVertices[Group],MATCH("~"&amp;Vertices[[#This Row],[Vertex]],GroupVertices[Vertex],0)),1,1,"")</f>
        <v>33</v>
      </c>
      <c r="CK166" s="44"/>
      <c r="CL166" s="44"/>
      <c r="CM166" s="44"/>
      <c r="CN166" s="44"/>
      <c r="CO166" s="2"/>
    </row>
    <row r="167" spans="1:93" ht="41.45" customHeight="1">
      <c r="A167" s="59" t="s">
        <v>466</v>
      </c>
      <c r="C167" s="60"/>
      <c r="D167" s="60" t="s">
        <v>64</v>
      </c>
      <c r="E167" s="61">
        <v>1.5</v>
      </c>
      <c r="F167" s="63"/>
      <c r="G167" s="92" t="str">
        <f>HYPERLINK("https://pbs.twimg.com/profile_images/1623610293862666240/2ivhh5tp_normal.jpg")</f>
        <v>https://pbs.twimg.com/profile_images/1623610293862666240/2ivhh5tp_normal.jpg</v>
      </c>
      <c r="H167" s="60"/>
      <c r="I167" s="64" t="str">
        <f>Vertices[[#This Row],[Vertex]]</f>
        <v>psi_id</v>
      </c>
      <c r="J167" s="65"/>
      <c r="K167" s="65"/>
      <c r="L167" s="64"/>
      <c r="M167" s="68"/>
      <c r="N167" s="69">
        <v>8430.5908203125</v>
      </c>
      <c r="O167" s="69">
        <v>675.6094970703125</v>
      </c>
      <c r="P167" s="70"/>
      <c r="Q167" s="71"/>
      <c r="R167" s="71"/>
      <c r="S167" s="78"/>
      <c r="T167" s="44">
        <v>1</v>
      </c>
      <c r="U167" s="44">
        <v>0</v>
      </c>
      <c r="V167" s="45">
        <v>0</v>
      </c>
      <c r="W167" s="45">
        <v>0.003876</v>
      </c>
      <c r="X167" s="45">
        <v>0</v>
      </c>
      <c r="Y167" s="45">
        <v>0.003861</v>
      </c>
      <c r="Z167" s="45">
        <v>0</v>
      </c>
      <c r="AA167" s="45">
        <v>0</v>
      </c>
      <c r="AB167" s="66">
        <v>167</v>
      </c>
      <c r="AC1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7" s="67"/>
      <c r="AE167" t="s">
        <v>1736</v>
      </c>
      <c r="AF167" s="74" t="s">
        <v>1901</v>
      </c>
      <c r="AG167">
        <v>168168</v>
      </c>
      <c r="AH167">
        <v>946</v>
      </c>
      <c r="AI167">
        <v>43345</v>
      </c>
      <c r="AJ167">
        <v>131</v>
      </c>
      <c r="AK167">
        <v>18307</v>
      </c>
      <c r="AL167">
        <v>10523</v>
      </c>
      <c r="AM167" t="b">
        <v>0</v>
      </c>
      <c r="AN167" s="73">
        <v>42085.10658564815</v>
      </c>
      <c r="AO167" t="s">
        <v>1942</v>
      </c>
      <c r="AP167" t="s">
        <v>2203</v>
      </c>
      <c r="AQ167" s="76" t="str">
        <f>HYPERLINK("https://t.co/YPooFkdq1w")</f>
        <v>https://t.co/YPooFkdq1w</v>
      </c>
      <c r="AR167" s="76" t="str">
        <f>HYPERLINK("http://s.id/psi")</f>
        <v>http://s.id/psi</v>
      </c>
      <c r="AS167" t="s">
        <v>2314</v>
      </c>
      <c r="AW167">
        <v>1.7055032289753E+18</v>
      </c>
      <c r="AX167" s="76" t="str">
        <f>HYPERLINK("https://t.co/YPooFkdq1w")</f>
        <v>https://t.co/YPooFkdq1w</v>
      </c>
      <c r="AY167" t="b">
        <v>1</v>
      </c>
      <c r="BB167" t="b">
        <v>0</v>
      </c>
      <c r="BC167" t="b">
        <v>1</v>
      </c>
      <c r="BD167" t="b">
        <v>0</v>
      </c>
      <c r="BE167" t="b">
        <v>0</v>
      </c>
      <c r="BF167" t="b">
        <v>1</v>
      </c>
      <c r="BG167" t="b">
        <v>0</v>
      </c>
      <c r="BH167" t="b">
        <v>0</v>
      </c>
      <c r="BI167" s="76" t="str">
        <f>HYPERLINK("https://pbs.twimg.com/profile_banners/3102442327/1695742177")</f>
        <v>https://pbs.twimg.com/profile_banners/3102442327/1695742177</v>
      </c>
      <c r="BK167" t="s">
        <v>2343</v>
      </c>
      <c r="BL167" t="b">
        <v>0</v>
      </c>
      <c r="BN167" t="s">
        <v>65</v>
      </c>
      <c r="BO167" t="s">
        <v>2345</v>
      </c>
      <c r="BP167" s="76" t="str">
        <f>HYPERLINK("https://twitter.com/psi_id")</f>
        <v>https://twitter.com/psi_id</v>
      </c>
      <c r="BQ167" s="44"/>
      <c r="BR167" s="44"/>
      <c r="BS167" s="44"/>
      <c r="BT167" s="44"/>
      <c r="BU167" s="44"/>
      <c r="BV167" s="44"/>
      <c r="BW167" s="44"/>
      <c r="BX167" s="44"/>
      <c r="BY167" s="44"/>
      <c r="BZ167" s="44"/>
      <c r="CA167" s="44"/>
      <c r="CB167" s="45"/>
      <c r="CC167" s="44"/>
      <c r="CD167" s="45"/>
      <c r="CE167" s="44"/>
      <c r="CF167" s="45"/>
      <c r="CG167" s="44"/>
      <c r="CH167" s="45"/>
      <c r="CI167" s="44"/>
      <c r="CJ167" s="112" t="str">
        <f>REPLACE(INDEX(GroupVertices[Group],MATCH("~"&amp;Vertices[[#This Row],[Vertex]],GroupVertices[Vertex],0)),1,1,"")</f>
        <v>34</v>
      </c>
      <c r="CK167" s="44"/>
      <c r="CL167" s="44"/>
      <c r="CM167" s="44"/>
      <c r="CN167" s="44"/>
      <c r="CO167" s="2"/>
    </row>
    <row r="168" spans="1:93" ht="41.45" customHeight="1">
      <c r="A168" s="59" t="s">
        <v>346</v>
      </c>
      <c r="C168" s="60"/>
      <c r="D168" s="60" t="s">
        <v>64</v>
      </c>
      <c r="E168" s="61">
        <v>1.5</v>
      </c>
      <c r="F168" s="63"/>
      <c r="G168" s="92" t="str">
        <f>HYPERLINK("https://pbs.twimg.com/profile_images/1688150738470584321/WvNkzXd4_normal.jpg")</f>
        <v>https://pbs.twimg.com/profile_images/1688150738470584321/WvNkzXd4_normal.jpg</v>
      </c>
      <c r="H168" s="60"/>
      <c r="I168" s="64" t="str">
        <f>Vertices[[#This Row],[Vertex]]</f>
        <v>febridiansyah</v>
      </c>
      <c r="J168" s="65"/>
      <c r="K168" s="65"/>
      <c r="L168" s="64"/>
      <c r="M168" s="68"/>
      <c r="N168" s="69">
        <v>9222.7939453125</v>
      </c>
      <c r="O168" s="69">
        <v>2409.66943359375</v>
      </c>
      <c r="P168" s="70"/>
      <c r="Q168" s="71"/>
      <c r="R168" s="71"/>
      <c r="S168" s="78"/>
      <c r="T168" s="44">
        <v>1</v>
      </c>
      <c r="U168" s="44">
        <v>0</v>
      </c>
      <c r="V168" s="45">
        <v>0</v>
      </c>
      <c r="W168" s="45">
        <v>0.003876</v>
      </c>
      <c r="X168" s="45">
        <v>0</v>
      </c>
      <c r="Y168" s="45">
        <v>0.003861</v>
      </c>
      <c r="Z168" s="45">
        <v>0</v>
      </c>
      <c r="AA168" s="45">
        <v>0</v>
      </c>
      <c r="AB168" s="66">
        <v>168</v>
      </c>
      <c r="AC1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8" s="67"/>
      <c r="AE168" t="s">
        <v>1540</v>
      </c>
      <c r="AF168" s="74" t="s">
        <v>1314</v>
      </c>
      <c r="AG168">
        <v>140902</v>
      </c>
      <c r="AH168">
        <v>1230</v>
      </c>
      <c r="AI168">
        <v>10630</v>
      </c>
      <c r="AJ168">
        <v>61</v>
      </c>
      <c r="AK168">
        <v>7194</v>
      </c>
      <c r="AL168">
        <v>948</v>
      </c>
      <c r="AM168" t="b">
        <v>0</v>
      </c>
      <c r="AN168" s="73">
        <v>43351.61681712963</v>
      </c>
      <c r="AO168" t="s">
        <v>996</v>
      </c>
      <c r="AP168" t="s">
        <v>2026</v>
      </c>
      <c r="AY168" t="b">
        <v>0</v>
      </c>
      <c r="BB168" t="b">
        <v>0</v>
      </c>
      <c r="BC168" t="b">
        <v>1</v>
      </c>
      <c r="BD168" t="b">
        <v>1</v>
      </c>
      <c r="BE168" t="b">
        <v>0</v>
      </c>
      <c r="BF168" t="b">
        <v>1</v>
      </c>
      <c r="BG168" t="b">
        <v>0</v>
      </c>
      <c r="BH168" t="b">
        <v>0</v>
      </c>
      <c r="BI168" s="76" t="str">
        <f>HYPERLINK("https://pbs.twimg.com/profile_banners/1038438863465664512/1685340283")</f>
        <v>https://pbs.twimg.com/profile_banners/1038438863465664512/1685340283</v>
      </c>
      <c r="BK168" t="s">
        <v>2343</v>
      </c>
      <c r="BL168" t="b">
        <v>0</v>
      </c>
      <c r="BN168" t="s">
        <v>65</v>
      </c>
      <c r="BO168" t="s">
        <v>2345</v>
      </c>
      <c r="BP168" s="76" t="str">
        <f>HYPERLINK("https://twitter.com/febridiansyah")</f>
        <v>https://twitter.com/febridiansyah</v>
      </c>
      <c r="BQ168" s="44"/>
      <c r="BR168" s="44"/>
      <c r="BS168" s="44"/>
      <c r="BT168" s="44"/>
      <c r="BU168" s="44"/>
      <c r="BV168" s="44"/>
      <c r="BW168" s="44"/>
      <c r="BX168" s="44"/>
      <c r="BY168" s="44"/>
      <c r="BZ168" s="44"/>
      <c r="CA168" s="44"/>
      <c r="CB168" s="45"/>
      <c r="CC168" s="44"/>
      <c r="CD168" s="45"/>
      <c r="CE168" s="44"/>
      <c r="CF168" s="45"/>
      <c r="CG168" s="44"/>
      <c r="CH168" s="45"/>
      <c r="CI168" s="44"/>
      <c r="CJ168" s="112" t="str">
        <f>REPLACE(INDEX(GroupVertices[Group],MATCH("~"&amp;Vertices[[#This Row],[Vertex]],GroupVertices[Vertex],0)),1,1,"")</f>
        <v>26</v>
      </c>
      <c r="CK168" s="44"/>
      <c r="CL168" s="44"/>
      <c r="CM168" s="44"/>
      <c r="CN168" s="44"/>
      <c r="CO168" s="2"/>
    </row>
    <row r="169" spans="1:93" ht="41.45" customHeight="1">
      <c r="A169" s="59" t="s">
        <v>404</v>
      </c>
      <c r="C169" s="60"/>
      <c r="D169" s="60" t="s">
        <v>64</v>
      </c>
      <c r="E169" s="61">
        <v>1.5</v>
      </c>
      <c r="F169" s="63"/>
      <c r="G169" s="92" t="str">
        <f>HYPERLINK("https://pbs.twimg.com/profile_images/1641787485083803648/Q6Oo1mcm_normal.jpg")</f>
        <v>https://pbs.twimg.com/profile_images/1641787485083803648/Q6Oo1mcm_normal.jpg</v>
      </c>
      <c r="H169" s="60"/>
      <c r="I169" s="64" t="str">
        <f>Vertices[[#This Row],[Vertex]]</f>
        <v>ayanimel</v>
      </c>
      <c r="J169" s="65"/>
      <c r="K169" s="65"/>
      <c r="L169" s="64"/>
      <c r="M169" s="68"/>
      <c r="N169" s="69">
        <v>9495.5927734375</v>
      </c>
      <c r="O169" s="69">
        <v>4143.75341796875</v>
      </c>
      <c r="P169" s="70"/>
      <c r="Q169" s="71"/>
      <c r="R169" s="71"/>
      <c r="S169" s="78"/>
      <c r="T169" s="44">
        <v>1</v>
      </c>
      <c r="U169" s="44">
        <v>0</v>
      </c>
      <c r="V169" s="45">
        <v>0</v>
      </c>
      <c r="W169" s="45">
        <v>0.003876</v>
      </c>
      <c r="X169" s="45">
        <v>0</v>
      </c>
      <c r="Y169" s="45">
        <v>0.003861</v>
      </c>
      <c r="Z169" s="45">
        <v>0</v>
      </c>
      <c r="AA169" s="45">
        <v>0</v>
      </c>
      <c r="AB169" s="66">
        <v>169</v>
      </c>
      <c r="AC1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9" s="67"/>
      <c r="AE169" t="s">
        <v>1662</v>
      </c>
      <c r="AF169" s="74" t="s">
        <v>1361</v>
      </c>
      <c r="AG169">
        <v>29987</v>
      </c>
      <c r="AH169">
        <v>9767</v>
      </c>
      <c r="AI169">
        <v>54734</v>
      </c>
      <c r="AJ169">
        <v>5</v>
      </c>
      <c r="AK169">
        <v>31780</v>
      </c>
      <c r="AL169">
        <v>30323</v>
      </c>
      <c r="AM169" t="b">
        <v>0</v>
      </c>
      <c r="AN169" s="73">
        <v>44082.36320601852</v>
      </c>
      <c r="AP169" t="s">
        <v>2134</v>
      </c>
      <c r="AW169">
        <v>1.64178871106627E+18</v>
      </c>
      <c r="AY169" t="b">
        <v>0</v>
      </c>
      <c r="BB169" t="b">
        <v>0</v>
      </c>
      <c r="BC169" t="b">
        <v>1</v>
      </c>
      <c r="BD169" t="b">
        <v>1</v>
      </c>
      <c r="BE169" t="b">
        <v>0</v>
      </c>
      <c r="BF169" t="b">
        <v>1</v>
      </c>
      <c r="BG169" t="b">
        <v>0</v>
      </c>
      <c r="BH169" t="b">
        <v>0</v>
      </c>
      <c r="BI169" s="76" t="str">
        <f>HYPERLINK("https://pbs.twimg.com/profile_banners/1303252304301236224/1599556432")</f>
        <v>https://pbs.twimg.com/profile_banners/1303252304301236224/1599556432</v>
      </c>
      <c r="BK169" t="s">
        <v>2343</v>
      </c>
      <c r="BL169" t="b">
        <v>0</v>
      </c>
      <c r="BN169" t="s">
        <v>65</v>
      </c>
      <c r="BO169" t="s">
        <v>2345</v>
      </c>
      <c r="BP169" s="76" t="str">
        <f>HYPERLINK("https://twitter.com/ayanimel")</f>
        <v>https://twitter.com/ayanimel</v>
      </c>
      <c r="BQ169" s="44"/>
      <c r="BR169" s="44"/>
      <c r="BS169" s="44"/>
      <c r="BT169" s="44"/>
      <c r="BU169" s="44"/>
      <c r="BV169" s="44"/>
      <c r="BW169" s="44"/>
      <c r="BX169" s="44"/>
      <c r="BY169" s="44"/>
      <c r="BZ169" s="44"/>
      <c r="CA169" s="44"/>
      <c r="CB169" s="45"/>
      <c r="CC169" s="44"/>
      <c r="CD169" s="45"/>
      <c r="CE169" s="44"/>
      <c r="CF169" s="45"/>
      <c r="CG169" s="44"/>
      <c r="CH169" s="45"/>
      <c r="CI169" s="44"/>
      <c r="CJ169" s="112" t="str">
        <f>REPLACE(INDEX(GroupVertices[Group],MATCH("~"&amp;Vertices[[#This Row],[Vertex]],GroupVertices[Vertex],0)),1,1,"")</f>
        <v>28</v>
      </c>
      <c r="CK169" s="44"/>
      <c r="CL169" s="44"/>
      <c r="CM169" s="44"/>
      <c r="CN169" s="44"/>
      <c r="CO169" s="2"/>
    </row>
    <row r="170" spans="1:93" ht="41.45" customHeight="1">
      <c r="A170" s="59" t="s">
        <v>480</v>
      </c>
      <c r="C170" s="60"/>
      <c r="D170" s="60" t="s">
        <v>64</v>
      </c>
      <c r="E170" s="61">
        <v>1.5</v>
      </c>
      <c r="F170" s="63"/>
      <c r="G170" s="92" t="str">
        <f>HYPERLINK("https://pbs.twimg.com/profile_images/1136890904109731840/2IP-0OAz_normal.jpg")</f>
        <v>https://pbs.twimg.com/profile_images/1136890904109731840/2IP-0OAz_normal.jpg</v>
      </c>
      <c r="H170" s="60"/>
      <c r="I170" s="64" t="str">
        <f>Vertices[[#This Row],[Vertex]]</f>
        <v>bumnbersatu</v>
      </c>
      <c r="J170" s="65"/>
      <c r="K170" s="65"/>
      <c r="L170" s="64"/>
      <c r="M170" s="68"/>
      <c r="N170" s="69">
        <v>9838.2021484375</v>
      </c>
      <c r="O170" s="69">
        <v>4143.7529296875</v>
      </c>
      <c r="P170" s="70"/>
      <c r="Q170" s="71"/>
      <c r="R170" s="71"/>
      <c r="S170" s="78"/>
      <c r="T170" s="44">
        <v>1</v>
      </c>
      <c r="U170" s="44">
        <v>0</v>
      </c>
      <c r="V170" s="45">
        <v>0</v>
      </c>
      <c r="W170" s="45">
        <v>0.003876</v>
      </c>
      <c r="X170" s="45">
        <v>0</v>
      </c>
      <c r="Y170" s="45">
        <v>0.003861</v>
      </c>
      <c r="Z170" s="45">
        <v>0</v>
      </c>
      <c r="AA170" s="45">
        <v>0</v>
      </c>
      <c r="AB170" s="66">
        <v>170</v>
      </c>
      <c r="AC1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0" s="67"/>
      <c r="AE170" t="s">
        <v>1533</v>
      </c>
      <c r="AF170" s="74" t="s">
        <v>1383</v>
      </c>
      <c r="AG170">
        <v>23146</v>
      </c>
      <c r="AH170">
        <v>1991</v>
      </c>
      <c r="AI170">
        <v>14720</v>
      </c>
      <c r="AJ170">
        <v>3</v>
      </c>
      <c r="AK170">
        <v>1944</v>
      </c>
      <c r="AL170">
        <v>1500</v>
      </c>
      <c r="AM170" t="b">
        <v>0</v>
      </c>
      <c r="AN170" s="73">
        <v>40438.83016203704</v>
      </c>
      <c r="AO170" t="s">
        <v>1937</v>
      </c>
      <c r="AP170" t="s">
        <v>2019</v>
      </c>
      <c r="AQ170" s="76" t="str">
        <f>HYPERLINK("http://t.co/rZVTUxJPeV")</f>
        <v>http://t.co/rZVTUxJPeV</v>
      </c>
      <c r="AR170" s="76" t="str">
        <f>HYPERLINK("http://www.presidentsby.com")</f>
        <v>http://www.presidentsby.com</v>
      </c>
      <c r="AS170" t="s">
        <v>2260</v>
      </c>
      <c r="AX170" s="76" t="str">
        <f>HYPERLINK("http://t.co/rZVTUxJPeV")</f>
        <v>http://t.co/rZVTUxJPeV</v>
      </c>
      <c r="AY170" t="b">
        <v>0</v>
      </c>
      <c r="BB170" t="b">
        <v>0</v>
      </c>
      <c r="BC170" t="b">
        <v>0</v>
      </c>
      <c r="BD170" t="b">
        <v>0</v>
      </c>
      <c r="BE170" t="b">
        <v>0</v>
      </c>
      <c r="BF170" t="b">
        <v>1</v>
      </c>
      <c r="BG170" t="b">
        <v>0</v>
      </c>
      <c r="BH170" t="b">
        <v>0</v>
      </c>
      <c r="BI170" s="76" t="str">
        <f>HYPERLINK("https://pbs.twimg.com/profile_banners/191951600/1439138669")</f>
        <v>https://pbs.twimg.com/profile_banners/191951600/1439138669</v>
      </c>
      <c r="BK170" t="s">
        <v>2343</v>
      </c>
      <c r="BL170" t="b">
        <v>0</v>
      </c>
      <c r="BN170" t="s">
        <v>65</v>
      </c>
      <c r="BO170" t="s">
        <v>2345</v>
      </c>
      <c r="BP170" s="76" t="str">
        <f>HYPERLINK("https://twitter.com/bumnbersatu")</f>
        <v>https://twitter.com/bumnbersatu</v>
      </c>
      <c r="BQ170" s="44"/>
      <c r="BR170" s="44"/>
      <c r="BS170" s="44"/>
      <c r="BT170" s="44"/>
      <c r="BU170" s="44"/>
      <c r="BV170" s="44"/>
      <c r="BW170" s="44"/>
      <c r="BX170" s="44"/>
      <c r="BY170" s="44"/>
      <c r="BZ170" s="44"/>
      <c r="CA170" s="44"/>
      <c r="CB170" s="45"/>
      <c r="CC170" s="44"/>
      <c r="CD170" s="45"/>
      <c r="CE170" s="44"/>
      <c r="CF170" s="45"/>
      <c r="CG170" s="44"/>
      <c r="CH170" s="45"/>
      <c r="CI170" s="44"/>
      <c r="CJ170" s="112" t="str">
        <f>REPLACE(INDEX(GroupVertices[Group],MATCH("~"&amp;Vertices[[#This Row],[Vertex]],GroupVertices[Vertex],0)),1,1,"")</f>
        <v>25</v>
      </c>
      <c r="CK170" s="44"/>
      <c r="CL170" s="44"/>
      <c r="CM170" s="44"/>
      <c r="CN170" s="44"/>
      <c r="CO170" s="2"/>
    </row>
    <row r="171" spans="1:93" ht="41.45" customHeight="1">
      <c r="A171" s="59" t="s">
        <v>248</v>
      </c>
      <c r="C171" s="60"/>
      <c r="D171" s="60" t="s">
        <v>64</v>
      </c>
      <c r="E171" s="61">
        <v>1.5</v>
      </c>
      <c r="F171" s="63"/>
      <c r="G171" s="92" t="str">
        <f>HYPERLINK("https://pbs.twimg.com/profile_images/1658664385441845250/OpjE5e8S_normal.jpg")</f>
        <v>https://pbs.twimg.com/profile_images/1658664385441845250/OpjE5e8S_normal.jpg</v>
      </c>
      <c r="H171" s="60"/>
      <c r="I171" s="64" t="str">
        <f>Vertices[[#This Row],[Vertex]]</f>
        <v>salamdaivaj</v>
      </c>
      <c r="J171" s="65"/>
      <c r="K171" s="65"/>
      <c r="L171" s="64"/>
      <c r="M171" s="68"/>
      <c r="N171" s="69">
        <v>9838.3193359375</v>
      </c>
      <c r="O171" s="69">
        <v>6215.59130859375</v>
      </c>
      <c r="P171" s="70"/>
      <c r="Q171" s="71"/>
      <c r="R171" s="71"/>
      <c r="S171" s="78"/>
      <c r="T171" s="44">
        <v>1</v>
      </c>
      <c r="U171" s="44">
        <v>2</v>
      </c>
      <c r="V171" s="45">
        <v>0</v>
      </c>
      <c r="W171" s="45">
        <v>0.003876</v>
      </c>
      <c r="X171" s="45">
        <v>0</v>
      </c>
      <c r="Y171" s="45">
        <v>0.003861</v>
      </c>
      <c r="Z171" s="45">
        <v>0</v>
      </c>
      <c r="AA171" s="45">
        <v>0</v>
      </c>
      <c r="AB171" s="66">
        <v>171</v>
      </c>
      <c r="AC1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1" s="67"/>
      <c r="AE171" t="s">
        <v>1586</v>
      </c>
      <c r="AF171" s="74" t="s">
        <v>1418</v>
      </c>
      <c r="AG171">
        <v>4643</v>
      </c>
      <c r="AH171">
        <v>3819</v>
      </c>
      <c r="AI171">
        <v>17799</v>
      </c>
      <c r="AJ171">
        <v>0</v>
      </c>
      <c r="AK171">
        <v>16343</v>
      </c>
      <c r="AL171">
        <v>1177</v>
      </c>
      <c r="AM171" t="b">
        <v>0</v>
      </c>
      <c r="AN171" s="73">
        <v>44156.57204861111</v>
      </c>
      <c r="AY171" t="b">
        <v>0</v>
      </c>
      <c r="BB171" t="b">
        <v>0</v>
      </c>
      <c r="BC171" t="b">
        <v>1</v>
      </c>
      <c r="BD171" t="b">
        <v>1</v>
      </c>
      <c r="BE171" t="b">
        <v>0</v>
      </c>
      <c r="BF171" t="b">
        <v>1</v>
      </c>
      <c r="BG171" t="b">
        <v>0</v>
      </c>
      <c r="BH171" t="b">
        <v>0</v>
      </c>
      <c r="BI171" s="76" t="str">
        <f>HYPERLINK("https://pbs.twimg.com/profile_banners/1330144760636596228/1686582109")</f>
        <v>https://pbs.twimg.com/profile_banners/1330144760636596228/1686582109</v>
      </c>
      <c r="BK171" t="s">
        <v>2343</v>
      </c>
      <c r="BL171" t="b">
        <v>0</v>
      </c>
      <c r="BN171" t="s">
        <v>66</v>
      </c>
      <c r="BO171" t="s">
        <v>2345</v>
      </c>
      <c r="BP171" s="76" t="str">
        <f>HYPERLINK("https://twitter.com/salamdaivaj")</f>
        <v>https://twitter.com/salamdaivaj</v>
      </c>
      <c r="BQ171" s="44" t="s">
        <v>2357</v>
      </c>
      <c r="BR171" s="44" t="s">
        <v>2357</v>
      </c>
      <c r="BS171" s="44" t="s">
        <v>712</v>
      </c>
      <c r="BT171" s="44" t="s">
        <v>712</v>
      </c>
      <c r="BU171" s="44" t="s">
        <v>2416</v>
      </c>
      <c r="BV171" s="44" t="s">
        <v>2416</v>
      </c>
      <c r="BW171" s="95" t="s">
        <v>11422</v>
      </c>
      <c r="BX171" s="95" t="s">
        <v>2441</v>
      </c>
      <c r="BY171" s="95" t="s">
        <v>2508</v>
      </c>
      <c r="BZ171" s="95" t="s">
        <v>2580</v>
      </c>
      <c r="CA171" s="95">
        <v>8</v>
      </c>
      <c r="CB171" s="98">
        <v>21.05263157894737</v>
      </c>
      <c r="CC171" s="95">
        <v>1</v>
      </c>
      <c r="CD171" s="98">
        <v>2.6315789473684212</v>
      </c>
      <c r="CE171" s="95">
        <v>0</v>
      </c>
      <c r="CF171" s="98">
        <v>0</v>
      </c>
      <c r="CG171" s="95">
        <v>29</v>
      </c>
      <c r="CH171" s="98">
        <v>76.3157894736842</v>
      </c>
      <c r="CI171" s="95">
        <v>38</v>
      </c>
      <c r="CJ171" s="116" t="str">
        <f>REPLACE(INDEX(GroupVertices[Group],MATCH("~"&amp;Vertices[[#This Row],[Vertex]],GroupVertices[Vertex],0)),1,1,"")</f>
        <v>41</v>
      </c>
      <c r="CK171" s="95" t="s">
        <v>2357</v>
      </c>
      <c r="CL171" s="95" t="s">
        <v>2357</v>
      </c>
      <c r="CM171" s="95" t="s">
        <v>2416</v>
      </c>
      <c r="CN171" s="95" t="s">
        <v>2416</v>
      </c>
      <c r="CO171" s="2"/>
    </row>
    <row r="172" spans="1:93" ht="41.45" customHeight="1">
      <c r="A172" s="59" t="s">
        <v>468</v>
      </c>
      <c r="C172" s="60"/>
      <c r="D172" s="60" t="s">
        <v>64</v>
      </c>
      <c r="E172" s="61">
        <v>1.5</v>
      </c>
      <c r="F172" s="63"/>
      <c r="G172" s="92" t="str">
        <f>HYPERLINK("https://pbs.twimg.com/profile_images/1723203463490969600/yghhH1LC_normal.jpg")</f>
        <v>https://pbs.twimg.com/profile_images/1723203463490969600/yghhH1LC_normal.jpg</v>
      </c>
      <c r="H172" s="60"/>
      <c r="I172" s="64" t="str">
        <f>Vertices[[#This Row],[Vertex]]</f>
        <v>taharudddin</v>
      </c>
      <c r="J172" s="65"/>
      <c r="K172" s="65"/>
      <c r="L172" s="64"/>
      <c r="M172" s="68"/>
      <c r="N172" s="69">
        <v>9533.111328125</v>
      </c>
      <c r="O172" s="69">
        <v>1824.165283203125</v>
      </c>
      <c r="P172" s="70"/>
      <c r="Q172" s="71"/>
      <c r="R172" s="71"/>
      <c r="S172" s="78"/>
      <c r="T172" s="44">
        <v>1</v>
      </c>
      <c r="U172" s="44">
        <v>0</v>
      </c>
      <c r="V172" s="45">
        <v>0</v>
      </c>
      <c r="W172" s="45">
        <v>0.003876</v>
      </c>
      <c r="X172" s="45">
        <v>0</v>
      </c>
      <c r="Y172" s="45">
        <v>0.003861</v>
      </c>
      <c r="Z172" s="45">
        <v>0</v>
      </c>
      <c r="AA172" s="45">
        <v>0</v>
      </c>
      <c r="AB172" s="66">
        <v>172</v>
      </c>
      <c r="AC1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2" s="67"/>
      <c r="AE172" t="s">
        <v>468</v>
      </c>
      <c r="AF172" s="74" t="s">
        <v>1378</v>
      </c>
      <c r="AG172">
        <v>3004</v>
      </c>
      <c r="AH172">
        <v>2509</v>
      </c>
      <c r="AI172">
        <v>31916</v>
      </c>
      <c r="AJ172">
        <v>1</v>
      </c>
      <c r="AK172">
        <v>47360</v>
      </c>
      <c r="AL172">
        <v>1094</v>
      </c>
      <c r="AM172" t="b">
        <v>0</v>
      </c>
      <c r="AN172" s="73">
        <v>44265.26603009259</v>
      </c>
      <c r="AP172" t="s">
        <v>2216</v>
      </c>
      <c r="AY172" t="b">
        <v>0</v>
      </c>
      <c r="BB172" t="b">
        <v>0</v>
      </c>
      <c r="BC172" t="b">
        <v>0</v>
      </c>
      <c r="BD172" t="b">
        <v>1</v>
      </c>
      <c r="BE172" t="b">
        <v>0</v>
      </c>
      <c r="BF172" t="b">
        <v>0</v>
      </c>
      <c r="BG172" t="b">
        <v>0</v>
      </c>
      <c r="BH172" t="b">
        <v>0</v>
      </c>
      <c r="BI172" s="76" t="str">
        <f>HYPERLINK("https://pbs.twimg.com/profile_banners/1369533748417495049/1622667349")</f>
        <v>https://pbs.twimg.com/profile_banners/1369533748417495049/1622667349</v>
      </c>
      <c r="BK172" t="s">
        <v>2343</v>
      </c>
      <c r="BL172" t="b">
        <v>0</v>
      </c>
      <c r="BN172" t="s">
        <v>65</v>
      </c>
      <c r="BO172" t="s">
        <v>2345</v>
      </c>
      <c r="BP172" s="76" t="str">
        <f>HYPERLINK("https://twitter.com/taharudddin")</f>
        <v>https://twitter.com/taharudddin</v>
      </c>
      <c r="BQ172" s="44"/>
      <c r="BR172" s="44"/>
      <c r="BS172" s="44"/>
      <c r="BT172" s="44"/>
      <c r="BU172" s="44"/>
      <c r="BV172" s="44"/>
      <c r="BW172" s="44"/>
      <c r="BX172" s="44"/>
      <c r="BY172" s="44"/>
      <c r="BZ172" s="44"/>
      <c r="CA172" s="44"/>
      <c r="CB172" s="45"/>
      <c r="CC172" s="44"/>
      <c r="CD172" s="45"/>
      <c r="CE172" s="44"/>
      <c r="CF172" s="45"/>
      <c r="CG172" s="44"/>
      <c r="CH172" s="45"/>
      <c r="CI172" s="44"/>
      <c r="CJ172" s="112" t="str">
        <f>REPLACE(INDEX(GroupVertices[Group],MATCH("~"&amp;Vertices[[#This Row],[Vertex]],GroupVertices[Vertex],0)),1,1,"")</f>
        <v>32</v>
      </c>
      <c r="CK172" s="44"/>
      <c r="CL172" s="44"/>
      <c r="CM172" s="44"/>
      <c r="CN172" s="44"/>
      <c r="CO172" s="2"/>
    </row>
    <row r="173" spans="1:93" ht="41.45" customHeight="1">
      <c r="A173" s="59" t="s">
        <v>401</v>
      </c>
      <c r="C173" s="60"/>
      <c r="D173" s="60" t="s">
        <v>64</v>
      </c>
      <c r="E173" s="61">
        <v>1.5</v>
      </c>
      <c r="F173" s="63"/>
      <c r="G173" s="92" t="str">
        <f>HYPERLINK("https://pbs.twimg.com/profile_images/1378271507625902080/xj-gDZdM_normal.jpg")</f>
        <v>https://pbs.twimg.com/profile_images/1378271507625902080/xj-gDZdM_normal.jpg</v>
      </c>
      <c r="H173" s="60"/>
      <c r="I173" s="64" t="str">
        <f>Vertices[[#This Row],[Vertex]]</f>
        <v>anunksalsabiel1</v>
      </c>
      <c r="J173" s="65"/>
      <c r="K173" s="65"/>
      <c r="L173" s="64"/>
      <c r="M173" s="68"/>
      <c r="N173" s="69">
        <v>9153.16015625</v>
      </c>
      <c r="O173" s="69">
        <v>4143.73193359375</v>
      </c>
      <c r="P173" s="70"/>
      <c r="Q173" s="71"/>
      <c r="R173" s="71"/>
      <c r="S173" s="78"/>
      <c r="T173" s="44">
        <v>1</v>
      </c>
      <c r="U173" s="44">
        <v>0</v>
      </c>
      <c r="V173" s="45">
        <v>0</v>
      </c>
      <c r="W173" s="45">
        <v>0.003876</v>
      </c>
      <c r="X173" s="45">
        <v>0</v>
      </c>
      <c r="Y173" s="45">
        <v>0.003861</v>
      </c>
      <c r="Z173" s="45">
        <v>0</v>
      </c>
      <c r="AA173" s="45">
        <v>0</v>
      </c>
      <c r="AB173" s="66">
        <v>173</v>
      </c>
      <c r="AC1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3" s="67"/>
      <c r="AE173" t="s">
        <v>1656</v>
      </c>
      <c r="AF173" s="74" t="s">
        <v>1359</v>
      </c>
      <c r="AG173">
        <v>31</v>
      </c>
      <c r="AH173">
        <v>101</v>
      </c>
      <c r="AI173">
        <v>458</v>
      </c>
      <c r="AJ173">
        <v>0</v>
      </c>
      <c r="AK173">
        <v>374</v>
      </c>
      <c r="AL173">
        <v>180</v>
      </c>
      <c r="AM173" t="b">
        <v>0</v>
      </c>
      <c r="AN173" s="73">
        <v>44289.37432870371</v>
      </c>
      <c r="AP173" t="s">
        <v>2128</v>
      </c>
      <c r="AY173" t="b">
        <v>0</v>
      </c>
      <c r="BB173" t="b">
        <v>0</v>
      </c>
      <c r="BC173" t="b">
        <v>1</v>
      </c>
      <c r="BD173" t="b">
        <v>1</v>
      </c>
      <c r="BE173" t="b">
        <v>0</v>
      </c>
      <c r="BF173" t="b">
        <v>0</v>
      </c>
      <c r="BG173" t="b">
        <v>0</v>
      </c>
      <c r="BH173" t="b">
        <v>0</v>
      </c>
      <c r="BK173" t="s">
        <v>2343</v>
      </c>
      <c r="BL173" t="b">
        <v>0</v>
      </c>
      <c r="BN173" t="s">
        <v>65</v>
      </c>
      <c r="BO173" t="s">
        <v>2345</v>
      </c>
      <c r="BP173" s="76" t="str">
        <f>HYPERLINK("https://twitter.com/anunksalsabiel1")</f>
        <v>https://twitter.com/anunksalsabiel1</v>
      </c>
      <c r="BQ173" s="44"/>
      <c r="BR173" s="44"/>
      <c r="BS173" s="44"/>
      <c r="BT173" s="44"/>
      <c r="BU173" s="44"/>
      <c r="BV173" s="44"/>
      <c r="BW173" s="44"/>
      <c r="BX173" s="44"/>
      <c r="BY173" s="44"/>
      <c r="BZ173" s="44"/>
      <c r="CA173" s="44"/>
      <c r="CB173" s="45"/>
      <c r="CC173" s="44"/>
      <c r="CD173" s="45"/>
      <c r="CE173" s="44"/>
      <c r="CF173" s="45"/>
      <c r="CG173" s="44"/>
      <c r="CH173" s="45"/>
      <c r="CI173" s="44"/>
      <c r="CJ173" s="112" t="str">
        <f>REPLACE(INDEX(GroupVertices[Group],MATCH("~"&amp;Vertices[[#This Row],[Vertex]],GroupVertices[Vertex],0)),1,1,"")</f>
        <v>27</v>
      </c>
      <c r="CK173" s="44"/>
      <c r="CL173" s="44"/>
      <c r="CM173" s="44"/>
      <c r="CN173" s="44"/>
      <c r="CO173" s="2"/>
    </row>
    <row r="174" spans="1:93" ht="41.45" customHeight="1">
      <c r="A174" s="59" t="s">
        <v>286</v>
      </c>
      <c r="C174" s="60"/>
      <c r="D174" s="60" t="s">
        <v>64</v>
      </c>
      <c r="E174" s="61">
        <v>1.5</v>
      </c>
      <c r="F174" s="63"/>
      <c r="G174" s="92" t="str">
        <f>HYPERLINK("https://pbs.twimg.com/profile_images/1657283286463582209/-8HSjERq_normal.jpg")</f>
        <v>https://pbs.twimg.com/profile_images/1657283286463582209/-8HSjERq_normal.jpg</v>
      </c>
      <c r="H174" s="60"/>
      <c r="I174" s="64" t="str">
        <f>Vertices[[#This Row],[Vertex]]</f>
        <v>sindonews</v>
      </c>
      <c r="J174" s="65"/>
      <c r="K174" s="65"/>
      <c r="L174" s="64"/>
      <c r="M174" s="68"/>
      <c r="N174" s="69">
        <v>2651.6494140625</v>
      </c>
      <c r="O174" s="69">
        <v>1428.8297119140625</v>
      </c>
      <c r="P174" s="70"/>
      <c r="Q174" s="71"/>
      <c r="R174" s="71"/>
      <c r="S174" s="78"/>
      <c r="T174" s="44">
        <v>1</v>
      </c>
      <c r="U174" s="44">
        <v>1</v>
      </c>
      <c r="V174" s="45">
        <v>0</v>
      </c>
      <c r="W174" s="45">
        <v>0</v>
      </c>
      <c r="X174" s="45">
        <v>0</v>
      </c>
      <c r="Y174" s="45">
        <v>0.003861</v>
      </c>
      <c r="Z174" s="45">
        <v>0</v>
      </c>
      <c r="AA174" s="45">
        <v>0</v>
      </c>
      <c r="AB174" s="66">
        <v>174</v>
      </c>
      <c r="AC1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4" s="67"/>
      <c r="AE174" t="s">
        <v>791</v>
      </c>
      <c r="AF174" s="74" t="s">
        <v>1857</v>
      </c>
      <c r="AG174">
        <v>408030</v>
      </c>
      <c r="AH174">
        <v>183</v>
      </c>
      <c r="AI174">
        <v>1095152</v>
      </c>
      <c r="AJ174">
        <v>656</v>
      </c>
      <c r="AK174">
        <v>5768</v>
      </c>
      <c r="AL174">
        <v>73952</v>
      </c>
      <c r="AM174" t="b">
        <v>0</v>
      </c>
      <c r="AN174" s="73">
        <v>40540.34878472222</v>
      </c>
      <c r="AO174" t="s">
        <v>1964</v>
      </c>
      <c r="AP174" t="s">
        <v>2159</v>
      </c>
      <c r="AQ174" s="76" t="str">
        <f>HYPERLINK("https://t.co/qLYcjRzQ3A")</f>
        <v>https://t.co/qLYcjRzQ3A</v>
      </c>
      <c r="AR174" s="76" t="str">
        <f>HYPERLINK("http://sindonews.com")</f>
        <v>http://sindonews.com</v>
      </c>
      <c r="AS174" t="s">
        <v>709</v>
      </c>
      <c r="AT174" s="76" t="str">
        <f>HYPERLINK("https://t.co/9zRoRiNd7U")</f>
        <v>https://t.co/9zRoRiNd7U</v>
      </c>
      <c r="AU174" s="76" t="str">
        <f>HYPERLINK("http://Sindonews.com")</f>
        <v>http://Sindonews.com</v>
      </c>
      <c r="AV174" t="s">
        <v>2340</v>
      </c>
      <c r="AW174">
        <v>1.7294322785255E+18</v>
      </c>
      <c r="AX174" s="76" t="str">
        <f>HYPERLINK("https://t.co/qLYcjRzQ3A")</f>
        <v>https://t.co/qLYcjRzQ3A</v>
      </c>
      <c r="AY174" t="b">
        <v>1</v>
      </c>
      <c r="BB174" t="b">
        <v>0</v>
      </c>
      <c r="BC174" t="b">
        <v>1</v>
      </c>
      <c r="BD174" t="b">
        <v>0</v>
      </c>
      <c r="BE174" t="b">
        <v>0</v>
      </c>
      <c r="BF174" t="b">
        <v>1</v>
      </c>
      <c r="BG174" t="b">
        <v>0</v>
      </c>
      <c r="BH174" t="b">
        <v>0</v>
      </c>
      <c r="BI174" s="76" t="str">
        <f>HYPERLINK("https://pbs.twimg.com/profile_banners/231355136/1684479196")</f>
        <v>https://pbs.twimg.com/profile_banners/231355136/1684479196</v>
      </c>
      <c r="BK174" t="s">
        <v>2343</v>
      </c>
      <c r="BL174" t="b">
        <v>0</v>
      </c>
      <c r="BN174" t="s">
        <v>66</v>
      </c>
      <c r="BO174" t="s">
        <v>2345</v>
      </c>
      <c r="BP174" s="76" t="str">
        <f>HYPERLINK("https://twitter.com/sindonews")</f>
        <v>https://twitter.com/sindonews</v>
      </c>
      <c r="BQ174" s="44" t="s">
        <v>2348</v>
      </c>
      <c r="BR174" s="44" t="s">
        <v>2348</v>
      </c>
      <c r="BS174" s="44" t="s">
        <v>709</v>
      </c>
      <c r="BT174" s="44" t="s">
        <v>709</v>
      </c>
      <c r="BU174" s="44" t="s">
        <v>695</v>
      </c>
      <c r="BV174" s="44" t="s">
        <v>2425</v>
      </c>
      <c r="BW174" s="95" t="s">
        <v>11423</v>
      </c>
      <c r="BX174" s="95" t="s">
        <v>11423</v>
      </c>
      <c r="BY174" s="95" t="s">
        <v>2535</v>
      </c>
      <c r="BZ174" s="95" t="s">
        <v>2535</v>
      </c>
      <c r="CA174" s="95">
        <v>3</v>
      </c>
      <c r="CB174" s="98">
        <v>15</v>
      </c>
      <c r="CC174" s="95">
        <v>1</v>
      </c>
      <c r="CD174" s="98">
        <v>5</v>
      </c>
      <c r="CE174" s="95">
        <v>0</v>
      </c>
      <c r="CF174" s="98">
        <v>0</v>
      </c>
      <c r="CG174" s="95">
        <v>16</v>
      </c>
      <c r="CH174" s="98">
        <v>80</v>
      </c>
      <c r="CI174" s="95">
        <v>20</v>
      </c>
      <c r="CJ174" s="116" t="str">
        <f>REPLACE(INDEX(GroupVertices[Group],MATCH("~"&amp;Vertices[[#This Row],[Vertex]],GroupVertices[Vertex],0)),1,1,"")</f>
        <v>3</v>
      </c>
      <c r="CK174" s="95" t="s">
        <v>2348</v>
      </c>
      <c r="CL174" s="95" t="s">
        <v>2348</v>
      </c>
      <c r="CM174" s="95" t="s">
        <v>695</v>
      </c>
      <c r="CN174" s="95" t="s">
        <v>2425</v>
      </c>
      <c r="CO174" s="2"/>
    </row>
    <row r="175" spans="1:93" ht="41.45" customHeight="1">
      <c r="A175" s="59" t="s">
        <v>287</v>
      </c>
      <c r="C175" s="60"/>
      <c r="D175" s="60" t="s">
        <v>64</v>
      </c>
      <c r="E175" s="61">
        <v>1.5</v>
      </c>
      <c r="F175" s="63"/>
      <c r="G175" s="92" t="str">
        <f>HYPERLINK("https://pbs.twimg.com/profile_images/1630485262727024640/YWgOgeDo_normal.jpg")</f>
        <v>https://pbs.twimg.com/profile_images/1630485262727024640/YWgOgeDo_normal.jpg</v>
      </c>
      <c r="H175" s="60"/>
      <c r="I175" s="64" t="str">
        <f>Vertices[[#This Row],[Vertex]]</f>
        <v>nyaiibubu</v>
      </c>
      <c r="J175" s="65"/>
      <c r="K175" s="65"/>
      <c r="L175" s="64"/>
      <c r="M175" s="68"/>
      <c r="N175" s="69">
        <v>2704.114990234375</v>
      </c>
      <c r="O175" s="69">
        <v>3856.928955078125</v>
      </c>
      <c r="P175" s="70"/>
      <c r="Q175" s="71"/>
      <c r="R175" s="71"/>
      <c r="S175" s="78"/>
      <c r="T175" s="44">
        <v>1</v>
      </c>
      <c r="U175" s="44">
        <v>1</v>
      </c>
      <c r="V175" s="45">
        <v>0</v>
      </c>
      <c r="W175" s="45">
        <v>0</v>
      </c>
      <c r="X175" s="45">
        <v>0</v>
      </c>
      <c r="Y175" s="45">
        <v>0.003861</v>
      </c>
      <c r="Z175" s="45">
        <v>0</v>
      </c>
      <c r="AA175" s="45">
        <v>0</v>
      </c>
      <c r="AB175" s="66">
        <v>175</v>
      </c>
      <c r="AC1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5" s="67"/>
      <c r="AE175" t="s">
        <v>1688</v>
      </c>
      <c r="AF175" s="74" t="s">
        <v>1447</v>
      </c>
      <c r="AG175">
        <v>29909</v>
      </c>
      <c r="AH175">
        <v>13033</v>
      </c>
      <c r="AI175">
        <v>167017</v>
      </c>
      <c r="AJ175">
        <v>5</v>
      </c>
      <c r="AK175">
        <v>116907</v>
      </c>
      <c r="AL175">
        <v>7361</v>
      </c>
      <c r="AM175" t="b">
        <v>0</v>
      </c>
      <c r="AN175" s="73">
        <v>43852.32728009259</v>
      </c>
      <c r="AO175" t="s">
        <v>1981</v>
      </c>
      <c r="AP175" t="s">
        <v>2160</v>
      </c>
      <c r="AW175">
        <v>1.72444658229958E+18</v>
      </c>
      <c r="AY175" t="b">
        <v>1</v>
      </c>
      <c r="BB175" t="b">
        <v>1</v>
      </c>
      <c r="BC175" t="b">
        <v>0</v>
      </c>
      <c r="BD175" t="b">
        <v>1</v>
      </c>
      <c r="BE175" t="b">
        <v>0</v>
      </c>
      <c r="BF175" t="b">
        <v>1</v>
      </c>
      <c r="BG175" t="b">
        <v>0</v>
      </c>
      <c r="BH175" t="b">
        <v>0</v>
      </c>
      <c r="BI175" s="76" t="str">
        <f>HYPERLINK("https://pbs.twimg.com/profile_banners/1219890224936783874/1623946419")</f>
        <v>https://pbs.twimg.com/profile_banners/1219890224936783874/1623946419</v>
      </c>
      <c r="BK175" t="s">
        <v>2343</v>
      </c>
      <c r="BL175" t="b">
        <v>0</v>
      </c>
      <c r="BN175" t="s">
        <v>66</v>
      </c>
      <c r="BO175" t="s">
        <v>2345</v>
      </c>
      <c r="BP175" s="76" t="str">
        <f>HYPERLINK("https://twitter.com/nyaiibubu")</f>
        <v>https://twitter.com/nyaiibubu</v>
      </c>
      <c r="BQ175" s="44"/>
      <c r="BR175" s="44"/>
      <c r="BS175" s="44"/>
      <c r="BT175" s="44"/>
      <c r="BU175" s="44"/>
      <c r="BV175" s="44"/>
      <c r="BW175" s="95" t="s">
        <v>11424</v>
      </c>
      <c r="BX175" s="95" t="s">
        <v>11424</v>
      </c>
      <c r="BY175" s="95" t="s">
        <v>2536</v>
      </c>
      <c r="BZ175" s="95" t="s">
        <v>2536</v>
      </c>
      <c r="CA175" s="95">
        <v>6</v>
      </c>
      <c r="CB175" s="98">
        <v>40</v>
      </c>
      <c r="CC175" s="95">
        <v>0</v>
      </c>
      <c r="CD175" s="98">
        <v>0</v>
      </c>
      <c r="CE175" s="95">
        <v>0</v>
      </c>
      <c r="CF175" s="98">
        <v>0</v>
      </c>
      <c r="CG175" s="95">
        <v>9</v>
      </c>
      <c r="CH175" s="98">
        <v>60</v>
      </c>
      <c r="CI175" s="95">
        <v>15</v>
      </c>
      <c r="CJ175" s="116" t="str">
        <f>REPLACE(INDEX(GroupVertices[Group],MATCH("~"&amp;Vertices[[#This Row],[Vertex]],GroupVertices[Vertex],0)),1,1,"")</f>
        <v>3</v>
      </c>
      <c r="CK175" s="95"/>
      <c r="CL175" s="95"/>
      <c r="CM175" s="95"/>
      <c r="CN175" s="95"/>
      <c r="CO175" s="2"/>
    </row>
    <row r="176" spans="1:93" ht="41.45" customHeight="1">
      <c r="A176" s="59" t="s">
        <v>222</v>
      </c>
      <c r="C176" s="60"/>
      <c r="D176" s="60" t="s">
        <v>64</v>
      </c>
      <c r="E176" s="61">
        <v>1.5</v>
      </c>
      <c r="F176" s="63"/>
      <c r="G176" s="92" t="str">
        <f>HYPERLINK("https://pbs.twimg.com/profile_images/1729394654255407104/CZNncald_normal.jpg")</f>
        <v>https://pbs.twimg.com/profile_images/1729394654255407104/CZNncald_normal.jpg</v>
      </c>
      <c r="H176" s="60"/>
      <c r="I176" s="64" t="str">
        <f>Vertices[[#This Row],[Vertex]]</f>
        <v>rizkir4madani</v>
      </c>
      <c r="J176" s="65"/>
      <c r="K176" s="65"/>
      <c r="L176" s="64"/>
      <c r="M176" s="68"/>
      <c r="N176" s="69">
        <v>1855.16748046875</v>
      </c>
      <c r="O176" s="69">
        <v>4288.76904296875</v>
      </c>
      <c r="P176" s="70"/>
      <c r="Q176" s="71"/>
      <c r="R176" s="71"/>
      <c r="S176" s="78"/>
      <c r="T176" s="44">
        <v>1</v>
      </c>
      <c r="U176" s="44">
        <v>1</v>
      </c>
      <c r="V176" s="45">
        <v>0</v>
      </c>
      <c r="W176" s="45">
        <v>0</v>
      </c>
      <c r="X176" s="45">
        <v>0</v>
      </c>
      <c r="Y176" s="45">
        <v>0.003861</v>
      </c>
      <c r="Z176" s="45">
        <v>0</v>
      </c>
      <c r="AA176" s="45">
        <v>0</v>
      </c>
      <c r="AB176" s="66">
        <v>176</v>
      </c>
      <c r="AC1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6" s="67"/>
      <c r="AE176" t="s">
        <v>1534</v>
      </c>
      <c r="AF176" s="74" t="s">
        <v>1403</v>
      </c>
      <c r="AG176">
        <v>12617</v>
      </c>
      <c r="AH176">
        <v>9067</v>
      </c>
      <c r="AI176">
        <v>353593</v>
      </c>
      <c r="AJ176">
        <v>3</v>
      </c>
      <c r="AK176">
        <v>336348</v>
      </c>
      <c r="AL176">
        <v>4971</v>
      </c>
      <c r="AM176" t="b">
        <v>0</v>
      </c>
      <c r="AN176" s="73">
        <v>43632.106087962966</v>
      </c>
      <c r="AO176" t="s">
        <v>1938</v>
      </c>
      <c r="AP176" t="s">
        <v>2020</v>
      </c>
      <c r="AY176" t="b">
        <v>0</v>
      </c>
      <c r="BB176" t="b">
        <v>1</v>
      </c>
      <c r="BC176" t="b">
        <v>0</v>
      </c>
      <c r="BD176" t="b">
        <v>1</v>
      </c>
      <c r="BE176" t="b">
        <v>0</v>
      </c>
      <c r="BF176" t="b">
        <v>1</v>
      </c>
      <c r="BG176" t="b">
        <v>0</v>
      </c>
      <c r="BH176" t="b">
        <v>0</v>
      </c>
      <c r="BK176" t="s">
        <v>2343</v>
      </c>
      <c r="BL176" t="b">
        <v>0</v>
      </c>
      <c r="BN176" t="s">
        <v>66</v>
      </c>
      <c r="BO176" t="s">
        <v>2345</v>
      </c>
      <c r="BP176" s="76" t="str">
        <f>HYPERLINK("https://twitter.com/rizkir4madani")</f>
        <v>https://twitter.com/rizkir4madani</v>
      </c>
      <c r="BQ176" s="44" t="s">
        <v>2403</v>
      </c>
      <c r="BR176" s="44" t="s">
        <v>2403</v>
      </c>
      <c r="BS176" s="44" t="s">
        <v>708</v>
      </c>
      <c r="BT176" s="44" t="s">
        <v>708</v>
      </c>
      <c r="BU176" s="44"/>
      <c r="BV176" s="44"/>
      <c r="BW176" s="95" t="s">
        <v>11425</v>
      </c>
      <c r="BX176" s="95" t="s">
        <v>11425</v>
      </c>
      <c r="BY176" s="95" t="s">
        <v>2480</v>
      </c>
      <c r="BZ176" s="95" t="s">
        <v>2480</v>
      </c>
      <c r="CA176" s="95">
        <v>5</v>
      </c>
      <c r="CB176" s="98">
        <v>12.5</v>
      </c>
      <c r="CC176" s="95">
        <v>1</v>
      </c>
      <c r="CD176" s="98">
        <v>2.5</v>
      </c>
      <c r="CE176" s="95">
        <v>0</v>
      </c>
      <c r="CF176" s="98">
        <v>0</v>
      </c>
      <c r="CG176" s="95">
        <v>34</v>
      </c>
      <c r="CH176" s="98">
        <v>85</v>
      </c>
      <c r="CI176" s="95">
        <v>40</v>
      </c>
      <c r="CJ176" s="116" t="str">
        <f>REPLACE(INDEX(GroupVertices[Group],MATCH("~"&amp;Vertices[[#This Row],[Vertex]],GroupVertices[Vertex],0)),1,1,"")</f>
        <v>3</v>
      </c>
      <c r="CK176" s="95" t="s">
        <v>2403</v>
      </c>
      <c r="CL176" s="95" t="s">
        <v>2403</v>
      </c>
      <c r="CM176" s="95"/>
      <c r="CN176" s="95"/>
      <c r="CO176" s="2"/>
    </row>
    <row r="177" spans="1:93" ht="41.45" customHeight="1">
      <c r="A177" s="59" t="s">
        <v>228</v>
      </c>
      <c r="C177" s="60"/>
      <c r="D177" s="60" t="s">
        <v>64</v>
      </c>
      <c r="E177" s="61">
        <v>1.5</v>
      </c>
      <c r="F177" s="63"/>
      <c r="G177" s="92" t="str">
        <f>HYPERLINK("https://pbs.twimg.com/profile_images/528933545570361344/jyXh9Ea1_normal.jpeg")</f>
        <v>https://pbs.twimg.com/profile_images/528933545570361344/jyXh9Ea1_normal.jpeg</v>
      </c>
      <c r="H177" s="60"/>
      <c r="I177" s="64" t="str">
        <f>Vertices[[#This Row],[Vertex]]</f>
        <v>parahyanganpost</v>
      </c>
      <c r="J177" s="65"/>
      <c r="K177" s="65"/>
      <c r="L177" s="64"/>
      <c r="M177" s="68"/>
      <c r="N177" s="69">
        <v>2071.91845703125</v>
      </c>
      <c r="O177" s="69">
        <v>4273.4609375</v>
      </c>
      <c r="P177" s="70"/>
      <c r="Q177" s="71"/>
      <c r="R177" s="71"/>
      <c r="S177" s="78"/>
      <c r="T177" s="44">
        <v>1</v>
      </c>
      <c r="U177" s="44">
        <v>1</v>
      </c>
      <c r="V177" s="45">
        <v>0</v>
      </c>
      <c r="W177" s="45">
        <v>0</v>
      </c>
      <c r="X177" s="45">
        <v>0</v>
      </c>
      <c r="Y177" s="45">
        <v>0.003861</v>
      </c>
      <c r="Z177" s="45">
        <v>0</v>
      </c>
      <c r="AA177" s="45">
        <v>0</v>
      </c>
      <c r="AB177" s="66">
        <v>177</v>
      </c>
      <c r="AC1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7" s="67"/>
      <c r="AE177" t="s">
        <v>1549</v>
      </c>
      <c r="AF177" s="74" t="s">
        <v>1804</v>
      </c>
      <c r="AG177">
        <v>2380</v>
      </c>
      <c r="AH177">
        <v>3233</v>
      </c>
      <c r="AI177">
        <v>22049</v>
      </c>
      <c r="AJ177">
        <v>27</v>
      </c>
      <c r="AK177">
        <v>6158</v>
      </c>
      <c r="AL177">
        <v>866</v>
      </c>
      <c r="AM177" t="b">
        <v>0</v>
      </c>
      <c r="AN177" s="73">
        <v>40637.25533564815</v>
      </c>
      <c r="AO177" t="s">
        <v>1944</v>
      </c>
      <c r="AP177" t="s">
        <v>2035</v>
      </c>
      <c r="AQ177" s="76" t="str">
        <f>HYPERLINK("https://t.co/NoMOS1QD7a")</f>
        <v>https://t.co/NoMOS1QD7a</v>
      </c>
      <c r="AR177" s="76" t="str">
        <f>HYPERLINK("http://parahyangan-post.com")</f>
        <v>http://parahyangan-post.com</v>
      </c>
      <c r="AS177" t="s">
        <v>2265</v>
      </c>
      <c r="AX177" s="76" t="str">
        <f>HYPERLINK("https://t.co/NoMOS1QD7a")</f>
        <v>https://t.co/NoMOS1QD7a</v>
      </c>
      <c r="AY177" t="b">
        <v>0</v>
      </c>
      <c r="BB177" t="b">
        <v>0</v>
      </c>
      <c r="BC177" t="b">
        <v>1</v>
      </c>
      <c r="BD177" t="b">
        <v>0</v>
      </c>
      <c r="BE177" t="b">
        <v>0</v>
      </c>
      <c r="BF177" t="b">
        <v>0</v>
      </c>
      <c r="BG177" t="b">
        <v>0</v>
      </c>
      <c r="BH177" t="b">
        <v>0</v>
      </c>
      <c r="BI177" s="76" t="str">
        <f>HYPERLINK("https://pbs.twimg.com/profile_banners/276847477/1426346600")</f>
        <v>https://pbs.twimg.com/profile_banners/276847477/1426346600</v>
      </c>
      <c r="BK177" t="s">
        <v>2343</v>
      </c>
      <c r="BL177" t="b">
        <v>0</v>
      </c>
      <c r="BN177" t="s">
        <v>66</v>
      </c>
      <c r="BO177" t="s">
        <v>2345</v>
      </c>
      <c r="BP177" s="76" t="str">
        <f>HYPERLINK("https://twitter.com/parahyanganpost")</f>
        <v>https://twitter.com/parahyanganpost</v>
      </c>
      <c r="BQ177" s="44"/>
      <c r="BR177" s="44"/>
      <c r="BS177" s="44"/>
      <c r="BT177" s="44"/>
      <c r="BU177" s="44"/>
      <c r="BV177" s="44"/>
      <c r="BW177" s="95" t="s">
        <v>2430</v>
      </c>
      <c r="BX177" s="95" t="s">
        <v>2430</v>
      </c>
      <c r="BY177" s="95" t="s">
        <v>2486</v>
      </c>
      <c r="BZ177" s="95" t="s">
        <v>2486</v>
      </c>
      <c r="CA177" s="95">
        <v>3</v>
      </c>
      <c r="CB177" s="98">
        <v>7.894736842105263</v>
      </c>
      <c r="CC177" s="95">
        <v>0</v>
      </c>
      <c r="CD177" s="98">
        <v>0</v>
      </c>
      <c r="CE177" s="95">
        <v>0</v>
      </c>
      <c r="CF177" s="98">
        <v>0</v>
      </c>
      <c r="CG177" s="95">
        <v>35</v>
      </c>
      <c r="CH177" s="98">
        <v>92.10526315789474</v>
      </c>
      <c r="CI177" s="95">
        <v>38</v>
      </c>
      <c r="CJ177" s="116" t="str">
        <f>REPLACE(INDEX(GroupVertices[Group],MATCH("~"&amp;Vertices[[#This Row],[Vertex]],GroupVertices[Vertex],0)),1,1,"")</f>
        <v>3</v>
      </c>
      <c r="CK177" s="95"/>
      <c r="CL177" s="95"/>
      <c r="CM177" s="95"/>
      <c r="CN177" s="95"/>
      <c r="CO177" s="2"/>
    </row>
    <row r="178" spans="1:93" ht="41.45" customHeight="1">
      <c r="A178" s="59" t="s">
        <v>327</v>
      </c>
      <c r="C178" s="60"/>
      <c r="D178" s="60" t="s">
        <v>64</v>
      </c>
      <c r="E178" s="61">
        <v>1.5</v>
      </c>
      <c r="F178" s="63"/>
      <c r="G178" s="92" t="str">
        <f>HYPERLINK("https://pbs.twimg.com/profile_images/1724761411870707713/1LnQR0Tr_normal.jpg")</f>
        <v>https://pbs.twimg.com/profile_images/1724761411870707713/1LnQR0Tr_normal.jpg</v>
      </c>
      <c r="H178" s="60"/>
      <c r="I178" s="64" t="str">
        <f>Vertices[[#This Row],[Vertex]]</f>
        <v>salamduadj</v>
      </c>
      <c r="J178" s="65"/>
      <c r="K178" s="65"/>
      <c r="L178" s="64"/>
      <c r="M178" s="68"/>
      <c r="N178" s="69">
        <v>2810.2109375</v>
      </c>
      <c r="O178" s="69">
        <v>1925.8135986328125</v>
      </c>
      <c r="P178" s="70"/>
      <c r="Q178" s="71"/>
      <c r="R178" s="71"/>
      <c r="S178" s="78"/>
      <c r="T178" s="44">
        <v>1</v>
      </c>
      <c r="U178" s="44">
        <v>1</v>
      </c>
      <c r="V178" s="45">
        <v>0</v>
      </c>
      <c r="W178" s="45">
        <v>0</v>
      </c>
      <c r="X178" s="45">
        <v>0</v>
      </c>
      <c r="Y178" s="45">
        <v>0.003861</v>
      </c>
      <c r="Z178" s="45">
        <v>0</v>
      </c>
      <c r="AA178" s="45">
        <v>0</v>
      </c>
      <c r="AB178" s="66">
        <v>178</v>
      </c>
      <c r="AC1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8" s="67"/>
      <c r="AE178" t="s">
        <v>1775</v>
      </c>
      <c r="AF178" s="74" t="s">
        <v>1473</v>
      </c>
      <c r="AG178">
        <v>2034</v>
      </c>
      <c r="AH178">
        <v>1683</v>
      </c>
      <c r="AI178">
        <v>5268</v>
      </c>
      <c r="AJ178">
        <v>0</v>
      </c>
      <c r="AK178">
        <v>4704</v>
      </c>
      <c r="AL178">
        <v>386</v>
      </c>
      <c r="AM178" t="b">
        <v>0</v>
      </c>
      <c r="AN178" s="73">
        <v>44345.7584375</v>
      </c>
      <c r="AY178" t="b">
        <v>0</v>
      </c>
      <c r="BB178" t="b">
        <v>0</v>
      </c>
      <c r="BC178" t="b">
        <v>1</v>
      </c>
      <c r="BD178" t="b">
        <v>1</v>
      </c>
      <c r="BE178" t="b">
        <v>0</v>
      </c>
      <c r="BF178" t="b">
        <v>1</v>
      </c>
      <c r="BG178" t="b">
        <v>0</v>
      </c>
      <c r="BH178" t="b">
        <v>0</v>
      </c>
      <c r="BI178" s="76" t="str">
        <f>HYPERLINK("https://pbs.twimg.com/profile_banners/1398702978421297161/1700050139")</f>
        <v>https://pbs.twimg.com/profile_banners/1398702978421297161/1700050139</v>
      </c>
      <c r="BK178" t="s">
        <v>2343</v>
      </c>
      <c r="BL178" t="b">
        <v>0</v>
      </c>
      <c r="BN178" t="s">
        <v>66</v>
      </c>
      <c r="BO178" t="s">
        <v>2345</v>
      </c>
      <c r="BP178" s="76" t="str">
        <f>HYPERLINK("https://twitter.com/salamduadj")</f>
        <v>https://twitter.com/salamduadj</v>
      </c>
      <c r="BQ178" s="44"/>
      <c r="BR178" s="44"/>
      <c r="BS178" s="44"/>
      <c r="BT178" s="44"/>
      <c r="BU178" s="44" t="s">
        <v>2363</v>
      </c>
      <c r="BV178" s="44" t="s">
        <v>2363</v>
      </c>
      <c r="BW178" s="95" t="s">
        <v>11426</v>
      </c>
      <c r="BX178" s="95" t="s">
        <v>11426</v>
      </c>
      <c r="BY178" s="95" t="s">
        <v>2569</v>
      </c>
      <c r="BZ178" s="95" t="s">
        <v>2569</v>
      </c>
      <c r="CA178" s="95">
        <v>3</v>
      </c>
      <c r="CB178" s="98">
        <v>33.333333333333336</v>
      </c>
      <c r="CC178" s="95">
        <v>0</v>
      </c>
      <c r="CD178" s="98">
        <v>0</v>
      </c>
      <c r="CE178" s="95">
        <v>0</v>
      </c>
      <c r="CF178" s="98">
        <v>0</v>
      </c>
      <c r="CG178" s="95">
        <v>6</v>
      </c>
      <c r="CH178" s="98">
        <v>66.66666666666667</v>
      </c>
      <c r="CI178" s="95">
        <v>9</v>
      </c>
      <c r="CJ178" s="116" t="str">
        <f>REPLACE(INDEX(GroupVertices[Group],MATCH("~"&amp;Vertices[[#This Row],[Vertex]],GroupVertices[Vertex],0)),1,1,"")</f>
        <v>3</v>
      </c>
      <c r="CK178" s="95"/>
      <c r="CL178" s="95"/>
      <c r="CM178" s="95" t="s">
        <v>2363</v>
      </c>
      <c r="CN178" s="95" t="s">
        <v>2363</v>
      </c>
      <c r="CO178" s="2"/>
    </row>
    <row r="179" spans="1:93" ht="41.45" customHeight="1">
      <c r="A179" s="59" t="s">
        <v>316</v>
      </c>
      <c r="C179" s="60"/>
      <c r="D179" s="60" t="s">
        <v>64</v>
      </c>
      <c r="E179" s="61">
        <v>1.5</v>
      </c>
      <c r="F179" s="63"/>
      <c r="G179" s="92" t="str">
        <f>HYPERLINK("https://pbs.twimg.com/profile_images/1698015402755080192/QtWkIROy_normal.jpg")</f>
        <v>https://pbs.twimg.com/profile_images/1698015402755080192/QtWkIROy_normal.jpg</v>
      </c>
      <c r="H179" s="60"/>
      <c r="I179" s="64" t="str">
        <f>Vertices[[#This Row],[Vertex]]</f>
        <v>amrullahkareem1</v>
      </c>
      <c r="J179" s="65"/>
      <c r="K179" s="65"/>
      <c r="L179" s="64"/>
      <c r="M179" s="68"/>
      <c r="N179" s="69">
        <v>2271.145263671875</v>
      </c>
      <c r="O179" s="69">
        <v>4526.57568359375</v>
      </c>
      <c r="P179" s="70"/>
      <c r="Q179" s="71"/>
      <c r="R179" s="71"/>
      <c r="S179" s="78"/>
      <c r="T179" s="44">
        <v>1</v>
      </c>
      <c r="U179" s="44">
        <v>1</v>
      </c>
      <c r="V179" s="45">
        <v>0</v>
      </c>
      <c r="W179" s="45">
        <v>0</v>
      </c>
      <c r="X179" s="45">
        <v>0</v>
      </c>
      <c r="Y179" s="45">
        <v>0.003861</v>
      </c>
      <c r="Z179" s="45">
        <v>0</v>
      </c>
      <c r="AA179" s="45">
        <v>0</v>
      </c>
      <c r="AB179" s="66">
        <v>179</v>
      </c>
      <c r="AC1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9" s="67"/>
      <c r="AE179" t="s">
        <v>1758</v>
      </c>
      <c r="AF179" s="74" t="s">
        <v>1906</v>
      </c>
      <c r="AG179">
        <v>1156</v>
      </c>
      <c r="AH179">
        <v>3035</v>
      </c>
      <c r="AI179">
        <v>9209</v>
      </c>
      <c r="AJ179">
        <v>0</v>
      </c>
      <c r="AK179">
        <v>9218</v>
      </c>
      <c r="AL179">
        <v>139</v>
      </c>
      <c r="AM179" t="b">
        <v>0</v>
      </c>
      <c r="AN179" s="73">
        <v>40991.094826388886</v>
      </c>
      <c r="AO179" t="s">
        <v>2004</v>
      </c>
      <c r="AP179" t="s">
        <v>2223</v>
      </c>
      <c r="AQ179" s="76" t="str">
        <f>HYPERLINK("https://t.co/fM81BhDlKG")</f>
        <v>https://t.co/fM81BhDlKG</v>
      </c>
      <c r="AR179" s="76" t="str">
        <f>HYPERLINK("http://blogindonesianabanget.blogspot.com")</f>
        <v>http://blogindonesianabanget.blogspot.com</v>
      </c>
      <c r="AS179" t="s">
        <v>2318</v>
      </c>
      <c r="AX179" s="76" t="str">
        <f>HYPERLINK("https://t.co/fM81BhDlKG")</f>
        <v>https://t.co/fM81BhDlKG</v>
      </c>
      <c r="AY179" t="b">
        <v>0</v>
      </c>
      <c r="BB179" t="b">
        <v>0</v>
      </c>
      <c r="BC179" t="b">
        <v>1</v>
      </c>
      <c r="BD179" t="b">
        <v>0</v>
      </c>
      <c r="BE179" t="b">
        <v>0</v>
      </c>
      <c r="BF179" t="b">
        <v>1</v>
      </c>
      <c r="BG179" t="b">
        <v>0</v>
      </c>
      <c r="BH179" t="b">
        <v>0</v>
      </c>
      <c r="BI179" s="76" t="str">
        <f>HYPERLINK("https://pbs.twimg.com/profile_banners/533765689/1617334247")</f>
        <v>https://pbs.twimg.com/profile_banners/533765689/1617334247</v>
      </c>
      <c r="BK179" t="s">
        <v>2343</v>
      </c>
      <c r="BL179" t="b">
        <v>0</v>
      </c>
      <c r="BN179" t="s">
        <v>66</v>
      </c>
      <c r="BO179" t="s">
        <v>2345</v>
      </c>
      <c r="BP179" s="76" t="str">
        <f>HYPERLINK("https://twitter.com/amrullahkareem1")</f>
        <v>https://twitter.com/amrullahkareem1</v>
      </c>
      <c r="BQ179" s="44"/>
      <c r="BR179" s="44"/>
      <c r="BS179" s="44"/>
      <c r="BT179" s="44"/>
      <c r="BU179" s="44" t="s">
        <v>682</v>
      </c>
      <c r="BV179" s="44" t="s">
        <v>682</v>
      </c>
      <c r="BW179" s="95" t="s">
        <v>2375</v>
      </c>
      <c r="BX179" s="95" t="s">
        <v>2375</v>
      </c>
      <c r="BY179" s="95" t="s">
        <v>1384</v>
      </c>
      <c r="BZ179" s="95" t="s">
        <v>1384</v>
      </c>
      <c r="CA179" s="95">
        <v>0</v>
      </c>
      <c r="CB179" s="98">
        <v>0</v>
      </c>
      <c r="CC179" s="95">
        <v>0</v>
      </c>
      <c r="CD179" s="98">
        <v>0</v>
      </c>
      <c r="CE179" s="95">
        <v>0</v>
      </c>
      <c r="CF179" s="98">
        <v>0</v>
      </c>
      <c r="CG179" s="95">
        <v>1</v>
      </c>
      <c r="CH179" s="98">
        <v>100</v>
      </c>
      <c r="CI179" s="95">
        <v>1</v>
      </c>
      <c r="CJ179" s="116" t="str">
        <f>REPLACE(INDEX(GroupVertices[Group],MATCH("~"&amp;Vertices[[#This Row],[Vertex]],GroupVertices[Vertex],0)),1,1,"")</f>
        <v>3</v>
      </c>
      <c r="CK179" s="95"/>
      <c r="CL179" s="95"/>
      <c r="CM179" s="95" t="s">
        <v>682</v>
      </c>
      <c r="CN179" s="95" t="s">
        <v>682</v>
      </c>
      <c r="CO179" s="2"/>
    </row>
    <row r="180" spans="1:93" ht="41.45" customHeight="1">
      <c r="A180" s="59" t="s">
        <v>297</v>
      </c>
      <c r="C180" s="125"/>
      <c r="D180" s="60" t="s">
        <v>64</v>
      </c>
      <c r="E180" s="129">
        <v>1.5</v>
      </c>
      <c r="F180" s="124"/>
      <c r="G180" s="92" t="str">
        <f>HYPERLINK("https://pbs.twimg.com/profile_images/1727941910642454528/MClKHgLX_normal.jpg")</f>
        <v>https://pbs.twimg.com/profile_images/1727941910642454528/MClKHgLX_normal.jpg</v>
      </c>
      <c r="H180" s="125"/>
      <c r="I180" s="64" t="str">
        <f>Vertices[[#This Row],[Vertex]]</f>
        <v>terapungkembali</v>
      </c>
      <c r="J180" s="126"/>
      <c r="K180" s="126"/>
      <c r="L180" s="130"/>
      <c r="M180" s="127"/>
      <c r="N180" s="131">
        <v>2499.099853515625</v>
      </c>
      <c r="O180" s="131">
        <v>4259.603515625</v>
      </c>
      <c r="P180" s="132"/>
      <c r="Q180" s="133"/>
      <c r="R180" s="133"/>
      <c r="S180" s="134"/>
      <c r="T180" s="44">
        <v>1</v>
      </c>
      <c r="U180" s="44">
        <v>1</v>
      </c>
      <c r="V180" s="45">
        <v>0</v>
      </c>
      <c r="W180" s="45">
        <v>0</v>
      </c>
      <c r="X180" s="45">
        <v>0</v>
      </c>
      <c r="Y180" s="45">
        <v>0.003861</v>
      </c>
      <c r="Z180" s="45">
        <v>0</v>
      </c>
      <c r="AA180" s="45">
        <v>0</v>
      </c>
      <c r="AB180" s="135">
        <v>180</v>
      </c>
      <c r="AC180"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0" s="67"/>
      <c r="AE180" t="s">
        <v>1737</v>
      </c>
      <c r="AF180" s="74" t="s">
        <v>1453</v>
      </c>
      <c r="AG180">
        <v>878</v>
      </c>
      <c r="AH180">
        <v>589</v>
      </c>
      <c r="AI180">
        <v>13282</v>
      </c>
      <c r="AJ180">
        <v>1</v>
      </c>
      <c r="AK180">
        <v>26156</v>
      </c>
      <c r="AL180">
        <v>1195</v>
      </c>
      <c r="AM180" t="b">
        <v>0</v>
      </c>
      <c r="AN180" s="73">
        <v>43678.14497685185</v>
      </c>
      <c r="AO180" t="s">
        <v>1997</v>
      </c>
      <c r="AP180" t="s">
        <v>2204</v>
      </c>
      <c r="AY180" t="b">
        <v>0</v>
      </c>
      <c r="BB180" t="b">
        <v>1</v>
      </c>
      <c r="BC180" t="b">
        <v>0</v>
      </c>
      <c r="BD180" t="b">
        <v>1</v>
      </c>
      <c r="BE180" t="b">
        <v>0</v>
      </c>
      <c r="BF180" t="b">
        <v>0</v>
      </c>
      <c r="BG180" t="b">
        <v>0</v>
      </c>
      <c r="BH180" t="b">
        <v>0</v>
      </c>
      <c r="BI180" s="76" t="str">
        <f>HYPERLINK("https://pbs.twimg.com/profile_banners/1156768706648666112/1700726271")</f>
        <v>https://pbs.twimg.com/profile_banners/1156768706648666112/1700726271</v>
      </c>
      <c r="BK180" t="s">
        <v>2343</v>
      </c>
      <c r="BL180" t="b">
        <v>0</v>
      </c>
      <c r="BN180" t="s">
        <v>66</v>
      </c>
      <c r="BO180" t="s">
        <v>2345</v>
      </c>
      <c r="BP180" s="76" t="str">
        <f>HYPERLINK("https://twitter.com/terapungkembali")</f>
        <v>https://twitter.com/terapungkembali</v>
      </c>
      <c r="BQ180" s="44"/>
      <c r="BR180" s="44"/>
      <c r="BS180" s="44"/>
      <c r="BT180" s="44"/>
      <c r="BU180" s="44" t="s">
        <v>682</v>
      </c>
      <c r="BV180" s="44" t="s">
        <v>682</v>
      </c>
      <c r="BW180" s="95" t="s">
        <v>2450</v>
      </c>
      <c r="BX180" s="95" t="s">
        <v>2450</v>
      </c>
      <c r="BY180" s="95" t="s">
        <v>2544</v>
      </c>
      <c r="BZ180" s="95" t="s">
        <v>2544</v>
      </c>
      <c r="CA180" s="95">
        <v>0</v>
      </c>
      <c r="CB180" s="98">
        <v>0</v>
      </c>
      <c r="CC180" s="95">
        <v>0</v>
      </c>
      <c r="CD180" s="98">
        <v>0</v>
      </c>
      <c r="CE180" s="95">
        <v>0</v>
      </c>
      <c r="CF180" s="98">
        <v>0</v>
      </c>
      <c r="CG180" s="95">
        <v>12</v>
      </c>
      <c r="CH180" s="98">
        <v>100</v>
      </c>
      <c r="CI180" s="95">
        <v>12</v>
      </c>
      <c r="CJ180" s="116" t="str">
        <f>REPLACE(INDEX(GroupVertices[Group],MATCH("~"&amp;Vertices[[#This Row],[Vertex]],GroupVertices[Vertex],0)),1,1,"")</f>
        <v>3</v>
      </c>
      <c r="CK180" s="95"/>
      <c r="CL180" s="95"/>
      <c r="CM180" s="95" t="s">
        <v>682</v>
      </c>
      <c r="CN180" s="95" t="s">
        <v>682</v>
      </c>
      <c r="CO180" s="2"/>
    </row>
    <row r="181" spans="1:93" ht="41.45" customHeight="1">
      <c r="A181" s="59" t="s">
        <v>310</v>
      </c>
      <c r="C181" s="60"/>
      <c r="D181" s="60" t="s">
        <v>64</v>
      </c>
      <c r="E181" s="61">
        <v>1.5</v>
      </c>
      <c r="F181" s="63"/>
      <c r="G181" s="92" t="str">
        <f>HYPERLINK("https://pbs.twimg.com/profile_images/1486594995146477568/gI2fZPj7_normal.jpg")</f>
        <v>https://pbs.twimg.com/profile_images/1486594995146477568/gI2fZPj7_normal.jpg</v>
      </c>
      <c r="H181" s="60"/>
      <c r="I181" s="64" t="str">
        <f>Vertices[[#This Row],[Vertex]]</f>
        <v>imronbiz</v>
      </c>
      <c r="J181" s="65"/>
      <c r="K181" s="65"/>
      <c r="L181" s="64"/>
      <c r="M181" s="68"/>
      <c r="N181" s="69">
        <v>2290.272705078125</v>
      </c>
      <c r="O181" s="69">
        <v>809.2769165039062</v>
      </c>
      <c r="P181" s="70"/>
      <c r="Q181" s="71"/>
      <c r="R181" s="71"/>
      <c r="S181" s="78"/>
      <c r="T181" s="44">
        <v>1</v>
      </c>
      <c r="U181" s="44">
        <v>1</v>
      </c>
      <c r="V181" s="45">
        <v>0</v>
      </c>
      <c r="W181" s="45">
        <v>0</v>
      </c>
      <c r="X181" s="45">
        <v>0</v>
      </c>
      <c r="Y181" s="45">
        <v>0.003861</v>
      </c>
      <c r="Z181" s="45">
        <v>0</v>
      </c>
      <c r="AA181" s="45">
        <v>0</v>
      </c>
      <c r="AB181" s="66">
        <v>181</v>
      </c>
      <c r="AC1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1" s="67"/>
      <c r="AE181" t="s">
        <v>1751</v>
      </c>
      <c r="AF181" s="74" t="s">
        <v>1904</v>
      </c>
      <c r="AG181">
        <v>796</v>
      </c>
      <c r="AH181">
        <v>874</v>
      </c>
      <c r="AI181">
        <v>16955</v>
      </c>
      <c r="AJ181">
        <v>6</v>
      </c>
      <c r="AK181">
        <v>4064</v>
      </c>
      <c r="AL181">
        <v>1725</v>
      </c>
      <c r="AM181" t="b">
        <v>0</v>
      </c>
      <c r="AN181" s="73">
        <v>39598.129479166666</v>
      </c>
      <c r="AP181" t="s">
        <v>2218</v>
      </c>
      <c r="AY181" t="b">
        <v>0</v>
      </c>
      <c r="BB181" t="b">
        <v>1</v>
      </c>
      <c r="BC181" t="b">
        <v>0</v>
      </c>
      <c r="BD181" t="b">
        <v>0</v>
      </c>
      <c r="BE181" t="b">
        <v>0</v>
      </c>
      <c r="BF181" t="b">
        <v>1</v>
      </c>
      <c r="BG181" t="b">
        <v>0</v>
      </c>
      <c r="BH181" t="b">
        <v>0</v>
      </c>
      <c r="BI181" s="76" t="str">
        <f>HYPERLINK("https://pbs.twimg.com/profile_banners/14951080/1571549113")</f>
        <v>https://pbs.twimg.com/profile_banners/14951080/1571549113</v>
      </c>
      <c r="BK181" t="s">
        <v>2343</v>
      </c>
      <c r="BL181" t="b">
        <v>0</v>
      </c>
      <c r="BN181" t="s">
        <v>66</v>
      </c>
      <c r="BO181" t="s">
        <v>2345</v>
      </c>
      <c r="BP181" s="76" t="str">
        <f>HYPERLINK("https://twitter.com/imronbiz")</f>
        <v>https://twitter.com/imronbiz</v>
      </c>
      <c r="BQ181" s="44"/>
      <c r="BR181" s="44"/>
      <c r="BS181" s="44"/>
      <c r="BT181" s="44"/>
      <c r="BU181" s="44" t="s">
        <v>682</v>
      </c>
      <c r="BV181" s="44" t="s">
        <v>682</v>
      </c>
      <c r="BW181" s="95" t="s">
        <v>2458</v>
      </c>
      <c r="BX181" s="95" t="s">
        <v>2458</v>
      </c>
      <c r="BY181" s="95" t="s">
        <v>2556</v>
      </c>
      <c r="BZ181" s="95" t="s">
        <v>2556</v>
      </c>
      <c r="CA181" s="95">
        <v>1</v>
      </c>
      <c r="CB181" s="98">
        <v>7.142857142857143</v>
      </c>
      <c r="CC181" s="95">
        <v>1</v>
      </c>
      <c r="CD181" s="98">
        <v>7.142857142857143</v>
      </c>
      <c r="CE181" s="95">
        <v>0</v>
      </c>
      <c r="CF181" s="98">
        <v>0</v>
      </c>
      <c r="CG181" s="95">
        <v>12</v>
      </c>
      <c r="CH181" s="98">
        <v>85.71428571428571</v>
      </c>
      <c r="CI181" s="95">
        <v>14</v>
      </c>
      <c r="CJ181" s="116" t="str">
        <f>REPLACE(INDEX(GroupVertices[Group],MATCH("~"&amp;Vertices[[#This Row],[Vertex]],GroupVertices[Vertex],0)),1,1,"")</f>
        <v>3</v>
      </c>
      <c r="CK181" s="95"/>
      <c r="CL181" s="95"/>
      <c r="CM181" s="95" t="s">
        <v>682</v>
      </c>
      <c r="CN181" s="95" t="s">
        <v>682</v>
      </c>
      <c r="CO181" s="2"/>
    </row>
    <row r="182" spans="1:93" ht="41.45" customHeight="1">
      <c r="A182" s="59" t="s">
        <v>299</v>
      </c>
      <c r="C182" s="60"/>
      <c r="D182" s="60" t="s">
        <v>64</v>
      </c>
      <c r="E182" s="61">
        <v>1.5</v>
      </c>
      <c r="F182" s="63"/>
      <c r="G182" s="92" t="str">
        <f>HYPERLINK("https://pbs.twimg.com/profile_images/1523298915021639680/ytX3BKie_normal.jpg")</f>
        <v>https://pbs.twimg.com/profile_images/1523298915021639680/ytX3BKie_normal.jpg</v>
      </c>
      <c r="H182" s="60"/>
      <c r="I182" s="64" t="str">
        <f>Vertices[[#This Row],[Vertex]]</f>
        <v>sys_cak</v>
      </c>
      <c r="J182" s="65"/>
      <c r="K182" s="65"/>
      <c r="L182" s="64"/>
      <c r="M182" s="68"/>
      <c r="N182" s="69">
        <v>2764.92724609375</v>
      </c>
      <c r="O182" s="69">
        <v>3199.2412109375</v>
      </c>
      <c r="P182" s="70"/>
      <c r="Q182" s="71"/>
      <c r="R182" s="71"/>
      <c r="S182" s="78"/>
      <c r="T182" s="44">
        <v>1</v>
      </c>
      <c r="U182" s="44">
        <v>1</v>
      </c>
      <c r="V182" s="45">
        <v>0</v>
      </c>
      <c r="W182" s="45">
        <v>0</v>
      </c>
      <c r="X182" s="45">
        <v>0</v>
      </c>
      <c r="Y182" s="45">
        <v>0.003861</v>
      </c>
      <c r="Z182" s="45">
        <v>0</v>
      </c>
      <c r="AA182" s="45">
        <v>0</v>
      </c>
      <c r="AB182" s="66">
        <v>182</v>
      </c>
      <c r="AC1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2" s="67"/>
      <c r="AE182" t="s">
        <v>1739</v>
      </c>
      <c r="AF182" s="74" t="s">
        <v>1455</v>
      </c>
      <c r="AG182">
        <v>785</v>
      </c>
      <c r="AH182">
        <v>744</v>
      </c>
      <c r="AI182">
        <v>2880</v>
      </c>
      <c r="AJ182">
        <v>0</v>
      </c>
      <c r="AK182">
        <v>6101</v>
      </c>
      <c r="AL182">
        <v>998</v>
      </c>
      <c r="AM182" t="b">
        <v>0</v>
      </c>
      <c r="AN182" s="73">
        <v>44184.53980324074</v>
      </c>
      <c r="AP182" t="s">
        <v>2206</v>
      </c>
      <c r="AY182" t="b">
        <v>0</v>
      </c>
      <c r="BB182" t="b">
        <v>0</v>
      </c>
      <c r="BC182" t="b">
        <v>1</v>
      </c>
      <c r="BD182" t="b">
        <v>1</v>
      </c>
      <c r="BE182" t="b">
        <v>0</v>
      </c>
      <c r="BF182" t="b">
        <v>0</v>
      </c>
      <c r="BG182" t="b">
        <v>0</v>
      </c>
      <c r="BH182" t="b">
        <v>0</v>
      </c>
      <c r="BI182" s="76" t="str">
        <f>HYPERLINK("https://pbs.twimg.com/profile_banners/1340279925513670658/1624196313")</f>
        <v>https://pbs.twimg.com/profile_banners/1340279925513670658/1624196313</v>
      </c>
      <c r="BK182" t="s">
        <v>2343</v>
      </c>
      <c r="BL182" t="b">
        <v>0</v>
      </c>
      <c r="BN182" t="s">
        <v>66</v>
      </c>
      <c r="BO182" t="s">
        <v>2345</v>
      </c>
      <c r="BP182" s="76" t="str">
        <f>HYPERLINK("https://twitter.com/sys_cak")</f>
        <v>https://twitter.com/sys_cak</v>
      </c>
      <c r="BQ182" s="44"/>
      <c r="BR182" s="44"/>
      <c r="BS182" s="44"/>
      <c r="BT182" s="44"/>
      <c r="BU182" s="44" t="s">
        <v>2420</v>
      </c>
      <c r="BV182" s="44" t="s">
        <v>2420</v>
      </c>
      <c r="BW182" s="95" t="s">
        <v>2451</v>
      </c>
      <c r="BX182" s="95" t="s">
        <v>2451</v>
      </c>
      <c r="BY182" s="95" t="s">
        <v>2546</v>
      </c>
      <c r="BZ182" s="95" t="s">
        <v>2546</v>
      </c>
      <c r="CA182" s="95">
        <v>1</v>
      </c>
      <c r="CB182" s="98">
        <v>7.6923076923076925</v>
      </c>
      <c r="CC182" s="95">
        <v>0</v>
      </c>
      <c r="CD182" s="98">
        <v>0</v>
      </c>
      <c r="CE182" s="95">
        <v>0</v>
      </c>
      <c r="CF182" s="98">
        <v>0</v>
      </c>
      <c r="CG182" s="95">
        <v>12</v>
      </c>
      <c r="CH182" s="98">
        <v>92.3076923076923</v>
      </c>
      <c r="CI182" s="95">
        <v>13</v>
      </c>
      <c r="CJ182" s="116" t="str">
        <f>REPLACE(INDEX(GroupVertices[Group],MATCH("~"&amp;Vertices[[#This Row],[Vertex]],GroupVertices[Vertex],0)),1,1,"")</f>
        <v>3</v>
      </c>
      <c r="CK182" s="95"/>
      <c r="CL182" s="95"/>
      <c r="CM182" s="95" t="s">
        <v>2420</v>
      </c>
      <c r="CN182" s="95" t="s">
        <v>2420</v>
      </c>
      <c r="CO182" s="2"/>
    </row>
    <row r="183" spans="1:93" ht="41.45" customHeight="1">
      <c r="A183" s="59" t="s">
        <v>227</v>
      </c>
      <c r="C183" s="60"/>
      <c r="D183" s="60" t="s">
        <v>64</v>
      </c>
      <c r="E183" s="61">
        <v>1.5</v>
      </c>
      <c r="F183" s="63"/>
      <c r="G183" s="92" t="str">
        <f>HYPERLINK("https://pbs.twimg.com/profile_images/1421653739430051840/0NoPDUNr_normal.jpg")</f>
        <v>https://pbs.twimg.com/profile_images/1421653739430051840/0NoPDUNr_normal.jpg</v>
      </c>
      <c r="H183" s="60"/>
      <c r="I183" s="64" t="str">
        <f>Vertices[[#This Row],[Vertex]]</f>
        <v>pungpurwanto</v>
      </c>
      <c r="J183" s="65"/>
      <c r="K183" s="65"/>
      <c r="L183" s="64"/>
      <c r="M183" s="68"/>
      <c r="N183" s="69">
        <v>1725.06640625</v>
      </c>
      <c r="O183" s="69">
        <v>1415.6314697265625</v>
      </c>
      <c r="P183" s="70"/>
      <c r="Q183" s="71"/>
      <c r="R183" s="71"/>
      <c r="S183" s="78"/>
      <c r="T183" s="44">
        <v>1</v>
      </c>
      <c r="U183" s="44">
        <v>1</v>
      </c>
      <c r="V183" s="45">
        <v>0</v>
      </c>
      <c r="W183" s="45">
        <v>0</v>
      </c>
      <c r="X183" s="45">
        <v>0</v>
      </c>
      <c r="Y183" s="45">
        <v>0.003861</v>
      </c>
      <c r="Z183" s="45">
        <v>0</v>
      </c>
      <c r="AA183" s="45">
        <v>0</v>
      </c>
      <c r="AB183" s="66">
        <v>183</v>
      </c>
      <c r="AC1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3" s="67"/>
      <c r="AE183" t="s">
        <v>1548</v>
      </c>
      <c r="AF183" s="74" t="s">
        <v>1803</v>
      </c>
      <c r="AG183">
        <v>737</v>
      </c>
      <c r="AH183">
        <v>489</v>
      </c>
      <c r="AI183">
        <v>9885</v>
      </c>
      <c r="AJ183">
        <v>1</v>
      </c>
      <c r="AK183">
        <v>3733</v>
      </c>
      <c r="AL183">
        <v>1422</v>
      </c>
      <c r="AM183" t="b">
        <v>0</v>
      </c>
      <c r="AN183" s="73">
        <v>40279.45769675926</v>
      </c>
      <c r="AO183" t="s">
        <v>1943</v>
      </c>
      <c r="AP183" t="s">
        <v>2034</v>
      </c>
      <c r="AQ183" s="76" t="str">
        <f>HYPERLINK("https://t.co/kQmnigg3pL")</f>
        <v>https://t.co/kQmnigg3pL</v>
      </c>
      <c r="AR183" s="76" t="str">
        <f>HYPERLINK("https://www.youtube.com/c/PungPurwanto")</f>
        <v>https://www.youtube.com/c/PungPurwanto</v>
      </c>
      <c r="AS183" t="s">
        <v>2264</v>
      </c>
      <c r="AX183" s="76" t="str">
        <f>HYPERLINK("https://t.co/kQmnigg3pL")</f>
        <v>https://t.co/kQmnigg3pL</v>
      </c>
      <c r="AY183" t="b">
        <v>1</v>
      </c>
      <c r="BB183" t="b">
        <v>0</v>
      </c>
      <c r="BC183" t="b">
        <v>1</v>
      </c>
      <c r="BD183" t="b">
        <v>0</v>
      </c>
      <c r="BE183" t="b">
        <v>0</v>
      </c>
      <c r="BF183" t="b">
        <v>1</v>
      </c>
      <c r="BG183" t="b">
        <v>0</v>
      </c>
      <c r="BH183" t="b">
        <v>0</v>
      </c>
      <c r="BI183" s="76" t="str">
        <f>HYPERLINK("https://pbs.twimg.com/profile_banners/131800607/1664001727")</f>
        <v>https://pbs.twimg.com/profile_banners/131800607/1664001727</v>
      </c>
      <c r="BK183" t="s">
        <v>2343</v>
      </c>
      <c r="BL183" t="b">
        <v>0</v>
      </c>
      <c r="BN183" t="s">
        <v>66</v>
      </c>
      <c r="BO183" t="s">
        <v>2345</v>
      </c>
      <c r="BP183" s="76" t="str">
        <f>HYPERLINK("https://twitter.com/pungpurwanto")</f>
        <v>https://twitter.com/pungpurwanto</v>
      </c>
      <c r="BQ183" s="44" t="s">
        <v>2348</v>
      </c>
      <c r="BR183" s="44" t="s">
        <v>2348</v>
      </c>
      <c r="BS183" s="44" t="s">
        <v>709</v>
      </c>
      <c r="BT183" s="44" t="s">
        <v>709</v>
      </c>
      <c r="BU183" s="44"/>
      <c r="BV183" s="44"/>
      <c r="BW183" s="95" t="s">
        <v>11427</v>
      </c>
      <c r="BX183" s="95" t="s">
        <v>11427</v>
      </c>
      <c r="BY183" s="95" t="s">
        <v>2485</v>
      </c>
      <c r="BZ183" s="95" t="s">
        <v>2485</v>
      </c>
      <c r="CA183" s="95">
        <v>3</v>
      </c>
      <c r="CB183" s="98">
        <v>21.428571428571427</v>
      </c>
      <c r="CC183" s="95">
        <v>1</v>
      </c>
      <c r="CD183" s="98">
        <v>7.142857142857143</v>
      </c>
      <c r="CE183" s="95">
        <v>0</v>
      </c>
      <c r="CF183" s="98">
        <v>0</v>
      </c>
      <c r="CG183" s="95">
        <v>10</v>
      </c>
      <c r="CH183" s="98">
        <v>71.42857142857143</v>
      </c>
      <c r="CI183" s="95">
        <v>14</v>
      </c>
      <c r="CJ183" s="116" t="str">
        <f>REPLACE(INDEX(GroupVertices[Group],MATCH("~"&amp;Vertices[[#This Row],[Vertex]],GroupVertices[Vertex],0)),1,1,"")</f>
        <v>3</v>
      </c>
      <c r="CK183" s="95" t="s">
        <v>2348</v>
      </c>
      <c r="CL183" s="95" t="s">
        <v>2348</v>
      </c>
      <c r="CM183" s="95"/>
      <c r="CN183" s="95"/>
      <c r="CO183" s="2"/>
    </row>
    <row r="184" spans="1:93" ht="41.45" customHeight="1">
      <c r="A184" s="59" t="s">
        <v>241</v>
      </c>
      <c r="C184" s="60"/>
      <c r="D184" s="60" t="s">
        <v>64</v>
      </c>
      <c r="E184" s="61">
        <v>1.5</v>
      </c>
      <c r="F184" s="63"/>
      <c r="G184" s="92" t="str">
        <f>HYPERLINK("https://pbs.twimg.com/profile_images/1519377370368843776/Ch-O_al3_normal.jpg")</f>
        <v>https://pbs.twimg.com/profile_images/1519377370368843776/Ch-O_al3_normal.jpg</v>
      </c>
      <c r="H184" s="60"/>
      <c r="I184" s="64" t="str">
        <f>Vertices[[#This Row],[Vertex]]</f>
        <v>pengabdi99</v>
      </c>
      <c r="J184" s="65"/>
      <c r="K184" s="65"/>
      <c r="L184" s="64"/>
      <c r="M184" s="68"/>
      <c r="N184" s="69">
        <v>1650.2620849609375</v>
      </c>
      <c r="O184" s="69">
        <v>3830.181396484375</v>
      </c>
      <c r="P184" s="70"/>
      <c r="Q184" s="71"/>
      <c r="R184" s="71"/>
      <c r="S184" s="78"/>
      <c r="T184" s="44">
        <v>1</v>
      </c>
      <c r="U184" s="44">
        <v>1</v>
      </c>
      <c r="V184" s="45">
        <v>0</v>
      </c>
      <c r="W184" s="45">
        <v>0</v>
      </c>
      <c r="X184" s="45">
        <v>0</v>
      </c>
      <c r="Y184" s="45">
        <v>0.003861</v>
      </c>
      <c r="Z184" s="45">
        <v>0</v>
      </c>
      <c r="AA184" s="45">
        <v>0</v>
      </c>
      <c r="AB184" s="66">
        <v>184</v>
      </c>
      <c r="AC1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4" s="67"/>
      <c r="AE184" t="s">
        <v>1576</v>
      </c>
      <c r="AF184" s="74" t="s">
        <v>1810</v>
      </c>
      <c r="AG184">
        <v>660</v>
      </c>
      <c r="AH184">
        <v>473</v>
      </c>
      <c r="AI184">
        <v>8787</v>
      </c>
      <c r="AJ184">
        <v>0</v>
      </c>
      <c r="AK184">
        <v>3803</v>
      </c>
      <c r="AL184">
        <v>965</v>
      </c>
      <c r="AM184" t="b">
        <v>0</v>
      </c>
      <c r="AN184" s="73">
        <v>40164.04425925926</v>
      </c>
      <c r="AO184" t="s">
        <v>1951</v>
      </c>
      <c r="AP184" t="s">
        <v>2058</v>
      </c>
      <c r="AQ184" s="76" t="str">
        <f>HYPERLINK("https://t.co/WfI8elmWPf")</f>
        <v>https://t.co/WfI8elmWPf</v>
      </c>
      <c r="AR184" s="76" t="str">
        <f>HYPERLINK("http://www.sontoloyo.net/")</f>
        <v>http://www.sontoloyo.net/</v>
      </c>
      <c r="AS184" t="s">
        <v>2270</v>
      </c>
      <c r="AW184">
        <v>1.71020043166488E+18</v>
      </c>
      <c r="AX184" s="76" t="str">
        <f>HYPERLINK("https://t.co/WfI8elmWPf")</f>
        <v>https://t.co/WfI8elmWPf</v>
      </c>
      <c r="AY184" t="b">
        <v>0</v>
      </c>
      <c r="BB184" t="b">
        <v>1</v>
      </c>
      <c r="BC184" t="b">
        <v>0</v>
      </c>
      <c r="BD184" t="b">
        <v>1</v>
      </c>
      <c r="BE184" t="b">
        <v>0</v>
      </c>
      <c r="BF184" t="b">
        <v>1</v>
      </c>
      <c r="BG184" t="b">
        <v>0</v>
      </c>
      <c r="BH184" t="b">
        <v>0</v>
      </c>
      <c r="BI184" s="76" t="str">
        <f>HYPERLINK("https://pbs.twimg.com/profile_banners/97328251/1586045219")</f>
        <v>https://pbs.twimg.com/profile_banners/97328251/1586045219</v>
      </c>
      <c r="BK184" t="s">
        <v>2343</v>
      </c>
      <c r="BL184" t="b">
        <v>0</v>
      </c>
      <c r="BN184" t="s">
        <v>66</v>
      </c>
      <c r="BO184" t="s">
        <v>2345</v>
      </c>
      <c r="BP184" s="76" t="str">
        <f>HYPERLINK("https://twitter.com/pengabdi99")</f>
        <v>https://twitter.com/pengabdi99</v>
      </c>
      <c r="BQ184" s="44"/>
      <c r="BR184" s="44"/>
      <c r="BS184" s="44"/>
      <c r="BT184" s="44"/>
      <c r="BU184" s="44" t="s">
        <v>682</v>
      </c>
      <c r="BV184" s="44" t="s">
        <v>682</v>
      </c>
      <c r="BW184" s="95" t="s">
        <v>2438</v>
      </c>
      <c r="BX184" s="95" t="s">
        <v>2438</v>
      </c>
      <c r="BY184" s="95" t="s">
        <v>2502</v>
      </c>
      <c r="BZ184" s="95" t="s">
        <v>2502</v>
      </c>
      <c r="CA184" s="95">
        <v>0</v>
      </c>
      <c r="CB184" s="98">
        <v>0</v>
      </c>
      <c r="CC184" s="95">
        <v>0</v>
      </c>
      <c r="CD184" s="98">
        <v>0</v>
      </c>
      <c r="CE184" s="95">
        <v>0</v>
      </c>
      <c r="CF184" s="98">
        <v>0</v>
      </c>
      <c r="CG184" s="95">
        <v>7</v>
      </c>
      <c r="CH184" s="98">
        <v>100</v>
      </c>
      <c r="CI184" s="95">
        <v>7</v>
      </c>
      <c r="CJ184" s="116" t="str">
        <f>REPLACE(INDEX(GroupVertices[Group],MATCH("~"&amp;Vertices[[#This Row],[Vertex]],GroupVertices[Vertex],0)),1,1,"")</f>
        <v>3</v>
      </c>
      <c r="CK184" s="95"/>
      <c r="CL184" s="95"/>
      <c r="CM184" s="95" t="s">
        <v>682</v>
      </c>
      <c r="CN184" s="95" t="s">
        <v>682</v>
      </c>
      <c r="CO184" s="2"/>
    </row>
    <row r="185" spans="1:93" ht="41.45" customHeight="1">
      <c r="A185" s="59" t="s">
        <v>285</v>
      </c>
      <c r="C185" s="60"/>
      <c r="D185" s="60" t="s">
        <v>64</v>
      </c>
      <c r="E185" s="61">
        <v>1.5</v>
      </c>
      <c r="F185" s="63"/>
      <c r="G185" s="92" t="str">
        <f>HYPERLINK("https://pbs.twimg.com/profile_images/1707538048291069952/4Bs_kLnV_normal.jpg")</f>
        <v>https://pbs.twimg.com/profile_images/1707538048291069952/4Bs_kLnV_normal.jpg</v>
      </c>
      <c r="H185" s="60"/>
      <c r="I185" s="64" t="str">
        <f>Vertices[[#This Row],[Vertex]]</f>
        <v>akmal16982665</v>
      </c>
      <c r="J185" s="65"/>
      <c r="K185" s="65"/>
      <c r="L185" s="64"/>
      <c r="M185" s="68"/>
      <c r="N185" s="69">
        <v>1568.3653564453125</v>
      </c>
      <c r="O185" s="69">
        <v>2546.737548828125</v>
      </c>
      <c r="P185" s="70"/>
      <c r="Q185" s="71"/>
      <c r="R185" s="71"/>
      <c r="S185" s="78"/>
      <c r="T185" s="44">
        <v>1</v>
      </c>
      <c r="U185" s="44">
        <v>1</v>
      </c>
      <c r="V185" s="45">
        <v>0</v>
      </c>
      <c r="W185" s="45">
        <v>0</v>
      </c>
      <c r="X185" s="45">
        <v>0</v>
      </c>
      <c r="Y185" s="45">
        <v>0.003861</v>
      </c>
      <c r="Z185" s="45">
        <v>0</v>
      </c>
      <c r="AA185" s="45">
        <v>0</v>
      </c>
      <c r="AB185" s="66">
        <v>185</v>
      </c>
      <c r="AC1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5" s="67"/>
      <c r="AE185" t="s">
        <v>1687</v>
      </c>
      <c r="AF185" s="74" t="s">
        <v>1446</v>
      </c>
      <c r="AG185">
        <v>348</v>
      </c>
      <c r="AH185">
        <v>888</v>
      </c>
      <c r="AI185">
        <v>511</v>
      </c>
      <c r="AJ185">
        <v>0</v>
      </c>
      <c r="AK185">
        <v>978</v>
      </c>
      <c r="AL185">
        <v>45</v>
      </c>
      <c r="AM185" t="b">
        <v>0</v>
      </c>
      <c r="AN185" s="73">
        <v>44326.33752314815</v>
      </c>
      <c r="AO185" t="s">
        <v>1980</v>
      </c>
      <c r="AP185" t="s">
        <v>2158</v>
      </c>
      <c r="AY185" t="b">
        <v>0</v>
      </c>
      <c r="BB185" t="b">
        <v>0</v>
      </c>
      <c r="BC185" t="b">
        <v>1</v>
      </c>
      <c r="BD185" t="b">
        <v>1</v>
      </c>
      <c r="BE185" t="b">
        <v>0</v>
      </c>
      <c r="BF185" t="b">
        <v>0</v>
      </c>
      <c r="BG185" t="b">
        <v>0</v>
      </c>
      <c r="BH185" t="b">
        <v>0</v>
      </c>
      <c r="BI185" s="76" t="str">
        <f>HYPERLINK("https://pbs.twimg.com/profile_banners/1391665671398858752/1691693417")</f>
        <v>https://pbs.twimg.com/profile_banners/1391665671398858752/1691693417</v>
      </c>
      <c r="BK185" t="s">
        <v>2343</v>
      </c>
      <c r="BL185" t="b">
        <v>0</v>
      </c>
      <c r="BN185" t="s">
        <v>66</v>
      </c>
      <c r="BO185" t="s">
        <v>2345</v>
      </c>
      <c r="BP185" s="76" t="str">
        <f>HYPERLINK("https://twitter.com/akmal16982665")</f>
        <v>https://twitter.com/akmal16982665</v>
      </c>
      <c r="BQ185" s="44"/>
      <c r="BR185" s="44"/>
      <c r="BS185" s="44"/>
      <c r="BT185" s="44"/>
      <c r="BU185" s="44" t="s">
        <v>682</v>
      </c>
      <c r="BV185" s="44" t="s">
        <v>682</v>
      </c>
      <c r="BW185" s="95" t="s">
        <v>2375</v>
      </c>
      <c r="BX185" s="95" t="s">
        <v>2375</v>
      </c>
      <c r="BY185" s="95" t="s">
        <v>2534</v>
      </c>
      <c r="BZ185" s="95" t="s">
        <v>2534</v>
      </c>
      <c r="CA185" s="95">
        <v>0</v>
      </c>
      <c r="CB185" s="98">
        <v>0</v>
      </c>
      <c r="CC185" s="95">
        <v>0</v>
      </c>
      <c r="CD185" s="98">
        <v>0</v>
      </c>
      <c r="CE185" s="95">
        <v>0</v>
      </c>
      <c r="CF185" s="98">
        <v>0</v>
      </c>
      <c r="CG185" s="95">
        <v>2</v>
      </c>
      <c r="CH185" s="98">
        <v>100</v>
      </c>
      <c r="CI185" s="95">
        <v>2</v>
      </c>
      <c r="CJ185" s="116" t="str">
        <f>REPLACE(INDEX(GroupVertices[Group],MATCH("~"&amp;Vertices[[#This Row],[Vertex]],GroupVertices[Vertex],0)),1,1,"")</f>
        <v>3</v>
      </c>
      <c r="CK185" s="95"/>
      <c r="CL185" s="95"/>
      <c r="CM185" s="95" t="s">
        <v>682</v>
      </c>
      <c r="CN185" s="95" t="s">
        <v>682</v>
      </c>
      <c r="CO185" s="2"/>
    </row>
    <row r="186" spans="1:93" ht="41.45" customHeight="1">
      <c r="A186" s="59" t="s">
        <v>232</v>
      </c>
      <c r="C186" s="60"/>
      <c r="D186" s="60" t="s">
        <v>64</v>
      </c>
      <c r="E186" s="61">
        <v>1.5</v>
      </c>
      <c r="F186" s="63"/>
      <c r="G186" s="92" t="str">
        <f>HYPERLINK("https://pbs.twimg.com/profile_images/428988226846457856/B0fdn-5S_normal.jpeg")</f>
        <v>https://pbs.twimg.com/profile_images/428988226846457856/B0fdn-5S_normal.jpeg</v>
      </c>
      <c r="H186" s="60"/>
      <c r="I186" s="64" t="str">
        <f>Vertices[[#This Row],[Vertex]]</f>
        <v>rustrijateng</v>
      </c>
      <c r="J186" s="65"/>
      <c r="K186" s="65"/>
      <c r="L186" s="64"/>
      <c r="M186" s="68"/>
      <c r="N186" s="69">
        <v>1568.75439453125</v>
      </c>
      <c r="O186" s="69">
        <v>1880.820556640625</v>
      </c>
      <c r="P186" s="70"/>
      <c r="Q186" s="71"/>
      <c r="R186" s="71"/>
      <c r="S186" s="78"/>
      <c r="T186" s="44">
        <v>1</v>
      </c>
      <c r="U186" s="44">
        <v>1</v>
      </c>
      <c r="V186" s="45">
        <v>0</v>
      </c>
      <c r="W186" s="45">
        <v>0</v>
      </c>
      <c r="X186" s="45">
        <v>0</v>
      </c>
      <c r="Y186" s="45">
        <v>0.003861</v>
      </c>
      <c r="Z186" s="45">
        <v>0</v>
      </c>
      <c r="AA186" s="45">
        <v>0</v>
      </c>
      <c r="AB186" s="66">
        <v>186</v>
      </c>
      <c r="AC1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6" s="67"/>
      <c r="AE186" t="s">
        <v>1559</v>
      </c>
      <c r="AF186" s="74" t="s">
        <v>1806</v>
      </c>
      <c r="AG186">
        <v>221</v>
      </c>
      <c r="AH186">
        <v>33</v>
      </c>
      <c r="AI186">
        <v>27788</v>
      </c>
      <c r="AJ186">
        <v>0</v>
      </c>
      <c r="AK186">
        <v>1</v>
      </c>
      <c r="AL186">
        <v>58</v>
      </c>
      <c r="AM186" t="b">
        <v>0</v>
      </c>
      <c r="AN186" s="73">
        <v>41040.59769675926</v>
      </c>
      <c r="AO186" t="s">
        <v>1947</v>
      </c>
      <c r="AP186" t="s">
        <v>2044</v>
      </c>
      <c r="AY186" t="b">
        <v>0</v>
      </c>
      <c r="BB186" t="b">
        <v>0</v>
      </c>
      <c r="BC186" t="b">
        <v>1</v>
      </c>
      <c r="BD186" t="b">
        <v>0</v>
      </c>
      <c r="BE186" t="b">
        <v>0</v>
      </c>
      <c r="BF186" t="b">
        <v>0</v>
      </c>
      <c r="BG186" t="b">
        <v>0</v>
      </c>
      <c r="BH186" t="b">
        <v>0</v>
      </c>
      <c r="BK186" t="s">
        <v>2343</v>
      </c>
      <c r="BL186" t="b">
        <v>0</v>
      </c>
      <c r="BN186" t="s">
        <v>66</v>
      </c>
      <c r="BO186" t="s">
        <v>2345</v>
      </c>
      <c r="BP186" s="76" t="str">
        <f>HYPERLINK("https://twitter.com/rustrijateng")</f>
        <v>https://twitter.com/rustrijateng</v>
      </c>
      <c r="BQ186" s="44" t="s">
        <v>2408</v>
      </c>
      <c r="BR186" s="44" t="s">
        <v>2408</v>
      </c>
      <c r="BS186" s="44" t="s">
        <v>710</v>
      </c>
      <c r="BT186" s="44" t="s">
        <v>710</v>
      </c>
      <c r="BU186" s="44"/>
      <c r="BV186" s="44"/>
      <c r="BW186" s="95" t="s">
        <v>11428</v>
      </c>
      <c r="BX186" s="95" t="s">
        <v>11428</v>
      </c>
      <c r="BY186" s="95" t="s">
        <v>2492</v>
      </c>
      <c r="BZ186" s="95" t="s">
        <v>2492</v>
      </c>
      <c r="CA186" s="95">
        <v>3</v>
      </c>
      <c r="CB186" s="98">
        <v>25</v>
      </c>
      <c r="CC186" s="95">
        <v>0</v>
      </c>
      <c r="CD186" s="98">
        <v>0</v>
      </c>
      <c r="CE186" s="95">
        <v>0</v>
      </c>
      <c r="CF186" s="98">
        <v>0</v>
      </c>
      <c r="CG186" s="95">
        <v>9</v>
      </c>
      <c r="CH186" s="98">
        <v>75</v>
      </c>
      <c r="CI186" s="95">
        <v>12</v>
      </c>
      <c r="CJ186" s="116" t="str">
        <f>REPLACE(INDEX(GroupVertices[Group],MATCH("~"&amp;Vertices[[#This Row],[Vertex]],GroupVertices[Vertex],0)),1,1,"")</f>
        <v>3</v>
      </c>
      <c r="CK186" s="95" t="s">
        <v>2408</v>
      </c>
      <c r="CL186" s="95" t="s">
        <v>2408</v>
      </c>
      <c r="CM186" s="95"/>
      <c r="CN186" s="95"/>
      <c r="CO186" s="2"/>
    </row>
    <row r="187" spans="1:93" ht="41.45" customHeight="1">
      <c r="A187" s="59" t="s">
        <v>292</v>
      </c>
      <c r="C187" s="60"/>
      <c r="D187" s="60" t="s">
        <v>64</v>
      </c>
      <c r="E187" s="61">
        <v>1.5</v>
      </c>
      <c r="F187" s="63"/>
      <c r="G187" s="92" t="str">
        <f>HYPERLINK("https://pbs.twimg.com/profile_images/1405213344793989126/Yu21MbZB_normal.jpg")</f>
        <v>https://pbs.twimg.com/profile_images/1405213344793989126/Yu21MbZB_normal.jpg</v>
      </c>
      <c r="H187" s="60"/>
      <c r="I187" s="64" t="str">
        <f>Vertices[[#This Row],[Vertex]]</f>
        <v>odang4z</v>
      </c>
      <c r="J187" s="65"/>
      <c r="K187" s="65"/>
      <c r="L187" s="64"/>
      <c r="M187" s="68"/>
      <c r="N187" s="69">
        <v>1572.9676513671875</v>
      </c>
      <c r="O187" s="69">
        <v>3198.638427734375</v>
      </c>
      <c r="P187" s="70"/>
      <c r="Q187" s="71"/>
      <c r="R187" s="71"/>
      <c r="S187" s="78"/>
      <c r="T187" s="44">
        <v>1</v>
      </c>
      <c r="U187" s="44">
        <v>1</v>
      </c>
      <c r="V187" s="45">
        <v>0</v>
      </c>
      <c r="W187" s="45">
        <v>0</v>
      </c>
      <c r="X187" s="45">
        <v>0</v>
      </c>
      <c r="Y187" s="45">
        <v>0.003861</v>
      </c>
      <c r="Z187" s="45">
        <v>0</v>
      </c>
      <c r="AA187" s="45">
        <v>0</v>
      </c>
      <c r="AB187" s="66">
        <v>187</v>
      </c>
      <c r="AC1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7" s="67"/>
      <c r="AE187" t="s">
        <v>1728</v>
      </c>
      <c r="AF187" s="74" t="s">
        <v>1895</v>
      </c>
      <c r="AG187">
        <v>220</v>
      </c>
      <c r="AH187">
        <v>155</v>
      </c>
      <c r="AI187">
        <v>53341</v>
      </c>
      <c r="AJ187">
        <v>2</v>
      </c>
      <c r="AK187">
        <v>315</v>
      </c>
      <c r="AL187">
        <v>976</v>
      </c>
      <c r="AM187" t="b">
        <v>0</v>
      </c>
      <c r="AN187" s="73">
        <v>39985.73752314815</v>
      </c>
      <c r="AO187" t="s">
        <v>996</v>
      </c>
      <c r="AP187" t="s">
        <v>2194</v>
      </c>
      <c r="AQ187" s="76" t="str">
        <f>HYPERLINK("https://t.co/Zs0YU47XWv")</f>
        <v>https://t.co/Zs0YU47XWv</v>
      </c>
      <c r="AR187" s="76" t="str">
        <f>HYPERLINK("http://dayvet133.blogspot.com")</f>
        <v>http://dayvet133.blogspot.com</v>
      </c>
      <c r="AS187" t="s">
        <v>2311</v>
      </c>
      <c r="AW187">
        <v>8.74166366152015E+17</v>
      </c>
      <c r="AX187" s="76" t="str">
        <f>HYPERLINK("https://t.co/Zs0YU47XWv")</f>
        <v>https://t.co/Zs0YU47XWv</v>
      </c>
      <c r="AY187" t="b">
        <v>0</v>
      </c>
      <c r="BB187" t="b">
        <v>1</v>
      </c>
      <c r="BC187" t="b">
        <v>0</v>
      </c>
      <c r="BD187" t="b">
        <v>0</v>
      </c>
      <c r="BE187" t="b">
        <v>0</v>
      </c>
      <c r="BF187" t="b">
        <v>1</v>
      </c>
      <c r="BG187" t="b">
        <v>0</v>
      </c>
      <c r="BH187" t="b">
        <v>0</v>
      </c>
      <c r="BI187" s="76" t="str">
        <f>HYPERLINK("https://pbs.twimg.com/profile_banners/49373951/1360267345")</f>
        <v>https://pbs.twimg.com/profile_banners/49373951/1360267345</v>
      </c>
      <c r="BK187" t="s">
        <v>2344</v>
      </c>
      <c r="BL187" t="b">
        <v>0</v>
      </c>
      <c r="BN187" t="s">
        <v>66</v>
      </c>
      <c r="BO187" t="s">
        <v>2345</v>
      </c>
      <c r="BP187" s="76" t="str">
        <f>HYPERLINK("https://twitter.com/odang4z")</f>
        <v>https://twitter.com/odang4z</v>
      </c>
      <c r="BQ187" s="44"/>
      <c r="BR187" s="44"/>
      <c r="BS187" s="44"/>
      <c r="BT187" s="44"/>
      <c r="BU187" s="44"/>
      <c r="BV187" s="44"/>
      <c r="BW187" s="95" t="s">
        <v>3293</v>
      </c>
      <c r="BX187" s="95" t="s">
        <v>3293</v>
      </c>
      <c r="BY187" s="95" t="s">
        <v>2530</v>
      </c>
      <c r="BZ187" s="95" t="s">
        <v>2530</v>
      </c>
      <c r="CA187" s="95">
        <v>3</v>
      </c>
      <c r="CB187" s="98">
        <v>100</v>
      </c>
      <c r="CC187" s="95">
        <v>0</v>
      </c>
      <c r="CD187" s="98">
        <v>0</v>
      </c>
      <c r="CE187" s="95">
        <v>0</v>
      </c>
      <c r="CF187" s="98">
        <v>0</v>
      </c>
      <c r="CG187" s="95">
        <v>0</v>
      </c>
      <c r="CH187" s="98">
        <v>0</v>
      </c>
      <c r="CI187" s="95">
        <v>3</v>
      </c>
      <c r="CJ187" s="116" t="str">
        <f>REPLACE(INDEX(GroupVertices[Group],MATCH("~"&amp;Vertices[[#This Row],[Vertex]],GroupVertices[Vertex],0)),1,1,"")</f>
        <v>3</v>
      </c>
      <c r="CK187" s="95"/>
      <c r="CL187" s="95"/>
      <c r="CM187" s="95"/>
      <c r="CN187" s="95"/>
      <c r="CO187" s="2"/>
    </row>
    <row r="188" spans="1:93" ht="41.45" customHeight="1">
      <c r="A188" s="59" t="s">
        <v>272</v>
      </c>
      <c r="C188" s="60"/>
      <c r="D188" s="60" t="s">
        <v>64</v>
      </c>
      <c r="E188" s="61">
        <v>1.5</v>
      </c>
      <c r="F188" s="63"/>
      <c r="G188" s="92" t="str">
        <f>HYPERLINK("https://pbs.twimg.com/profile_images/1705128688520663041/zALRjvlK_normal.jpg")</f>
        <v>https://pbs.twimg.com/profile_images/1705128688520663041/zALRjvlK_normal.jpg</v>
      </c>
      <c r="H188" s="60"/>
      <c r="I188" s="64" t="str">
        <f>Vertices[[#This Row],[Vertex]]</f>
        <v>domara_maman</v>
      </c>
      <c r="J188" s="65"/>
      <c r="K188" s="65"/>
      <c r="L188" s="64"/>
      <c r="M188" s="68"/>
      <c r="N188" s="69">
        <v>2746.4951171875</v>
      </c>
      <c r="O188" s="69">
        <v>2551.10595703125</v>
      </c>
      <c r="P188" s="70"/>
      <c r="Q188" s="71"/>
      <c r="R188" s="71"/>
      <c r="S188" s="78"/>
      <c r="T188" s="44">
        <v>1</v>
      </c>
      <c r="U188" s="44">
        <v>1</v>
      </c>
      <c r="V188" s="45">
        <v>0</v>
      </c>
      <c r="W188" s="45">
        <v>0</v>
      </c>
      <c r="X188" s="45">
        <v>0</v>
      </c>
      <c r="Y188" s="45">
        <v>0.003861</v>
      </c>
      <c r="Z188" s="45">
        <v>0</v>
      </c>
      <c r="AA188" s="45">
        <v>0</v>
      </c>
      <c r="AB188" s="66">
        <v>188</v>
      </c>
      <c r="AC1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8" s="67"/>
      <c r="AE188" t="s">
        <v>1641</v>
      </c>
      <c r="AF188" s="74" t="s">
        <v>1353</v>
      </c>
      <c r="AG188">
        <v>170</v>
      </c>
      <c r="AH188">
        <v>195</v>
      </c>
      <c r="AI188">
        <v>4850</v>
      </c>
      <c r="AJ188">
        <v>0</v>
      </c>
      <c r="AK188">
        <v>5258</v>
      </c>
      <c r="AL188">
        <v>260</v>
      </c>
      <c r="AM188" t="b">
        <v>0</v>
      </c>
      <c r="AN188" s="73">
        <v>43146.945601851854</v>
      </c>
      <c r="AP188" t="s">
        <v>2114</v>
      </c>
      <c r="AQ188" s="76" t="str">
        <f>HYPERLINK("https://t.co/04ZO5EL4Ik")</f>
        <v>https://t.co/04ZO5EL4Ik</v>
      </c>
      <c r="AR188" s="76" t="str">
        <f>HYPERLINK("https://www.instagram.com/mamandomara")</f>
        <v>https://www.instagram.com/mamandomara</v>
      </c>
      <c r="AS188" t="s">
        <v>2290</v>
      </c>
      <c r="AX188" s="76" t="str">
        <f>HYPERLINK("https://t.co/04ZO5EL4Ik")</f>
        <v>https://t.co/04ZO5EL4Ik</v>
      </c>
      <c r="AY188" t="b">
        <v>0</v>
      </c>
      <c r="BB188" t="b">
        <v>1</v>
      </c>
      <c r="BC188" t="b">
        <v>0</v>
      </c>
      <c r="BD188" t="b">
        <v>0</v>
      </c>
      <c r="BE188" t="b">
        <v>0</v>
      </c>
      <c r="BF188" t="b">
        <v>1</v>
      </c>
      <c r="BG188" t="b">
        <v>0</v>
      </c>
      <c r="BH188" t="b">
        <v>0</v>
      </c>
      <c r="BI188" s="76" t="str">
        <f>HYPERLINK("https://pbs.twimg.com/profile_banners/964268499991371776/1693758817")</f>
        <v>https://pbs.twimg.com/profile_banners/964268499991371776/1693758817</v>
      </c>
      <c r="BK188" t="s">
        <v>2343</v>
      </c>
      <c r="BL188" t="b">
        <v>0</v>
      </c>
      <c r="BN188" t="s">
        <v>66</v>
      </c>
      <c r="BO188" t="s">
        <v>2345</v>
      </c>
      <c r="BP188" s="76" t="str">
        <f>HYPERLINK("https://twitter.com/domara_maman")</f>
        <v>https://twitter.com/domara_maman</v>
      </c>
      <c r="BQ188" s="44"/>
      <c r="BR188" s="44"/>
      <c r="BS188" s="44"/>
      <c r="BT188" s="44"/>
      <c r="BU188" s="44"/>
      <c r="BV188" s="44"/>
      <c r="BW188" s="95" t="s">
        <v>2444</v>
      </c>
      <c r="BX188" s="95" t="s">
        <v>2444</v>
      </c>
      <c r="BY188" s="95" t="s">
        <v>2524</v>
      </c>
      <c r="BZ188" s="95" t="s">
        <v>2524</v>
      </c>
      <c r="CA188" s="95">
        <v>5</v>
      </c>
      <c r="CB188" s="98">
        <v>11.363636363636363</v>
      </c>
      <c r="CC188" s="95">
        <v>0</v>
      </c>
      <c r="CD188" s="98">
        <v>0</v>
      </c>
      <c r="CE188" s="95">
        <v>0</v>
      </c>
      <c r="CF188" s="98">
        <v>0</v>
      </c>
      <c r="CG188" s="95">
        <v>39</v>
      </c>
      <c r="CH188" s="98">
        <v>88.63636363636364</v>
      </c>
      <c r="CI188" s="95">
        <v>44</v>
      </c>
      <c r="CJ188" s="116" t="str">
        <f>REPLACE(INDEX(GroupVertices[Group],MATCH("~"&amp;Vertices[[#This Row],[Vertex]],GroupVertices[Vertex],0)),1,1,"")</f>
        <v>3</v>
      </c>
      <c r="CK188" s="95"/>
      <c r="CL188" s="95"/>
      <c r="CM188" s="95"/>
      <c r="CN188" s="95"/>
      <c r="CO188" s="2"/>
    </row>
    <row r="189" spans="1:93" ht="41.45" customHeight="1">
      <c r="A189" s="59" t="s">
        <v>300</v>
      </c>
      <c r="C189" s="60"/>
      <c r="D189" s="60" t="s">
        <v>64</v>
      </c>
      <c r="E189" s="61">
        <v>1.5</v>
      </c>
      <c r="F189" s="63"/>
      <c r="G189" s="92" t="str">
        <f>HYPERLINK("https://pbs.twimg.com/profile_images/1424393779151208450/xKUX-rqP_normal.jpg")</f>
        <v>https://pbs.twimg.com/profile_images/1424393779151208450/xKUX-rqP_normal.jpg</v>
      </c>
      <c r="H189" s="60"/>
      <c r="I189" s="64" t="str">
        <f>Vertices[[#This Row],[Vertex]]</f>
        <v>livia_elly</v>
      </c>
      <c r="J189" s="65"/>
      <c r="K189" s="65"/>
      <c r="L189" s="64"/>
      <c r="M189" s="68"/>
      <c r="N189" s="69">
        <v>2512.077880859375</v>
      </c>
      <c r="O189" s="69">
        <v>905.7735595703125</v>
      </c>
      <c r="P189" s="70"/>
      <c r="Q189" s="71"/>
      <c r="R189" s="71"/>
      <c r="S189" s="78"/>
      <c r="T189" s="44">
        <v>1</v>
      </c>
      <c r="U189" s="44">
        <v>1</v>
      </c>
      <c r="V189" s="45">
        <v>0</v>
      </c>
      <c r="W189" s="45">
        <v>0</v>
      </c>
      <c r="X189" s="45">
        <v>0</v>
      </c>
      <c r="Y189" s="45">
        <v>0.003861</v>
      </c>
      <c r="Z189" s="45">
        <v>0</v>
      </c>
      <c r="AA189" s="45">
        <v>0</v>
      </c>
      <c r="AB189" s="66">
        <v>189</v>
      </c>
      <c r="AC1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9" s="67"/>
      <c r="AE189" t="s">
        <v>1740</v>
      </c>
      <c r="AF189" s="74" t="s">
        <v>1456</v>
      </c>
      <c r="AG189">
        <v>148</v>
      </c>
      <c r="AH189">
        <v>1821</v>
      </c>
      <c r="AI189">
        <v>2166</v>
      </c>
      <c r="AJ189">
        <v>0</v>
      </c>
      <c r="AK189">
        <v>6412</v>
      </c>
      <c r="AL189">
        <v>62</v>
      </c>
      <c r="AM189" t="b">
        <v>0</v>
      </c>
      <c r="AN189" s="73">
        <v>43140.11287037037</v>
      </c>
      <c r="AO189" t="s">
        <v>1998</v>
      </c>
      <c r="AP189" t="s">
        <v>2207</v>
      </c>
      <c r="AY189" t="b">
        <v>0</v>
      </c>
      <c r="BB189" t="b">
        <v>1</v>
      </c>
      <c r="BC189" t="b">
        <v>0</v>
      </c>
      <c r="BD189" t="b">
        <v>1</v>
      </c>
      <c r="BE189" t="b">
        <v>0</v>
      </c>
      <c r="BF189" t="b">
        <v>1</v>
      </c>
      <c r="BG189" t="b">
        <v>0</v>
      </c>
      <c r="BH189" t="b">
        <v>0</v>
      </c>
      <c r="BI189" s="76" t="str">
        <f>HYPERLINK("https://pbs.twimg.com/profile_banners/961792402057932801/1519138421")</f>
        <v>https://pbs.twimg.com/profile_banners/961792402057932801/1519138421</v>
      </c>
      <c r="BK189" t="s">
        <v>2343</v>
      </c>
      <c r="BL189" t="b">
        <v>0</v>
      </c>
      <c r="BN189" t="s">
        <v>66</v>
      </c>
      <c r="BO189" t="s">
        <v>2345</v>
      </c>
      <c r="BP189" s="76" t="str">
        <f>HYPERLINK("https://twitter.com/livia_elly")</f>
        <v>https://twitter.com/livia_elly</v>
      </c>
      <c r="BQ189" s="44"/>
      <c r="BR189" s="44"/>
      <c r="BS189" s="44"/>
      <c r="BT189" s="44"/>
      <c r="BU189" s="44" t="s">
        <v>682</v>
      </c>
      <c r="BV189" s="44" t="s">
        <v>682</v>
      </c>
      <c r="BW189" s="95" t="s">
        <v>11429</v>
      </c>
      <c r="BX189" s="95" t="s">
        <v>11429</v>
      </c>
      <c r="BY189" s="95" t="s">
        <v>2547</v>
      </c>
      <c r="BZ189" s="95" t="s">
        <v>2547</v>
      </c>
      <c r="CA189" s="95">
        <v>3</v>
      </c>
      <c r="CB189" s="98">
        <v>75</v>
      </c>
      <c r="CC189" s="95">
        <v>0</v>
      </c>
      <c r="CD189" s="98">
        <v>0</v>
      </c>
      <c r="CE189" s="95">
        <v>0</v>
      </c>
      <c r="CF189" s="98">
        <v>0</v>
      </c>
      <c r="CG189" s="95">
        <v>1</v>
      </c>
      <c r="CH189" s="98">
        <v>25</v>
      </c>
      <c r="CI189" s="95">
        <v>4</v>
      </c>
      <c r="CJ189" s="116" t="str">
        <f>REPLACE(INDEX(GroupVertices[Group],MATCH("~"&amp;Vertices[[#This Row],[Vertex]],GroupVertices[Vertex],0)),1,1,"")</f>
        <v>3</v>
      </c>
      <c r="CK189" s="95"/>
      <c r="CL189" s="95"/>
      <c r="CM189" s="95" t="s">
        <v>682</v>
      </c>
      <c r="CN189" s="95" t="s">
        <v>682</v>
      </c>
      <c r="CO189" s="2"/>
    </row>
    <row r="190" spans="1:93" ht="41.45" customHeight="1">
      <c r="A190" s="59" t="s">
        <v>267</v>
      </c>
      <c r="C190" s="60"/>
      <c r="D190" s="60" t="s">
        <v>64</v>
      </c>
      <c r="E190" s="61">
        <v>1.5</v>
      </c>
      <c r="F190" s="63"/>
      <c r="G190" s="92" t="str">
        <f>HYPERLINK("https://pbs.twimg.com/profile_images/1226116907230621696/IDrU5ecA_normal.jpg")</f>
        <v>https://pbs.twimg.com/profile_images/1226116907230621696/IDrU5ecA_normal.jpg</v>
      </c>
      <c r="H190" s="60"/>
      <c r="I190" s="64" t="str">
        <f>Vertices[[#This Row],[Vertex]]</f>
        <v>dniupdate</v>
      </c>
      <c r="J190" s="65"/>
      <c r="K190" s="65"/>
      <c r="L190" s="64"/>
      <c r="M190" s="68"/>
      <c r="N190" s="69">
        <v>1848.027587890625</v>
      </c>
      <c r="O190" s="69">
        <v>883.6834716796875</v>
      </c>
      <c r="P190" s="70"/>
      <c r="Q190" s="71"/>
      <c r="R190" s="71"/>
      <c r="S190" s="78"/>
      <c r="T190" s="44">
        <v>1</v>
      </c>
      <c r="U190" s="44">
        <v>1</v>
      </c>
      <c r="V190" s="45">
        <v>0</v>
      </c>
      <c r="W190" s="45">
        <v>0</v>
      </c>
      <c r="X190" s="45">
        <v>0</v>
      </c>
      <c r="Y190" s="45">
        <v>0.003861</v>
      </c>
      <c r="Z190" s="45">
        <v>0</v>
      </c>
      <c r="AA190" s="45">
        <v>0</v>
      </c>
      <c r="AB190" s="66">
        <v>190</v>
      </c>
      <c r="AC1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0" s="67"/>
      <c r="AE190" t="s">
        <v>1630</v>
      </c>
      <c r="AF190" s="74" t="s">
        <v>1435</v>
      </c>
      <c r="AG190">
        <v>101</v>
      </c>
      <c r="AH190">
        <v>54</v>
      </c>
      <c r="AI190">
        <v>14245</v>
      </c>
      <c r="AJ190">
        <v>1</v>
      </c>
      <c r="AK190">
        <v>0</v>
      </c>
      <c r="AL190">
        <v>0</v>
      </c>
      <c r="AM190" t="b">
        <v>0</v>
      </c>
      <c r="AN190" s="73">
        <v>43869.47069444445</v>
      </c>
      <c r="AP190" t="s">
        <v>2103</v>
      </c>
      <c r="AQ190" s="76" t="str">
        <f>HYPERLINK("https://t.co/xFIO3OBIaw")</f>
        <v>https://t.co/xFIO3OBIaw</v>
      </c>
      <c r="AR190" s="76" t="str">
        <f>HYPERLINK("https://www.dailynewsindonesia.com/")</f>
        <v>https://www.dailynewsindonesia.com/</v>
      </c>
      <c r="AS190" t="s">
        <v>715</v>
      </c>
      <c r="AX190" s="76" t="str">
        <f>HYPERLINK("https://t.co/xFIO3OBIaw")</f>
        <v>https://t.co/xFIO3OBIaw</v>
      </c>
      <c r="AY190" t="b">
        <v>0</v>
      </c>
      <c r="BB190" t="b">
        <v>1</v>
      </c>
      <c r="BC190" t="b">
        <v>1</v>
      </c>
      <c r="BD190" t="b">
        <v>1</v>
      </c>
      <c r="BE190" t="b">
        <v>0</v>
      </c>
      <c r="BF190" t="b">
        <v>0</v>
      </c>
      <c r="BG190" t="b">
        <v>0</v>
      </c>
      <c r="BH190" t="b">
        <v>0</v>
      </c>
      <c r="BI190" s="76" t="str">
        <f>HYPERLINK("https://pbs.twimg.com/profile_banners/1226102794551095297/1581164130")</f>
        <v>https://pbs.twimg.com/profile_banners/1226102794551095297/1581164130</v>
      </c>
      <c r="BK190" t="s">
        <v>2343</v>
      </c>
      <c r="BL190" t="b">
        <v>0</v>
      </c>
      <c r="BN190" t="s">
        <v>66</v>
      </c>
      <c r="BO190" t="s">
        <v>2345</v>
      </c>
      <c r="BP190" s="76" t="str">
        <f>HYPERLINK("https://twitter.com/dniupdate")</f>
        <v>https://twitter.com/dniupdate</v>
      </c>
      <c r="BQ190" s="44" t="s">
        <v>2353</v>
      </c>
      <c r="BR190" s="44" t="s">
        <v>2353</v>
      </c>
      <c r="BS190" s="44" t="s">
        <v>715</v>
      </c>
      <c r="BT190" s="44" t="s">
        <v>715</v>
      </c>
      <c r="BU190" s="44"/>
      <c r="BV190" s="44"/>
      <c r="BW190" s="95" t="s">
        <v>11430</v>
      </c>
      <c r="BX190" s="95" t="s">
        <v>11430</v>
      </c>
      <c r="BY190" s="95" t="s">
        <v>2522</v>
      </c>
      <c r="BZ190" s="95" t="s">
        <v>2522</v>
      </c>
      <c r="CA190" s="95">
        <v>3</v>
      </c>
      <c r="CB190" s="98">
        <v>30</v>
      </c>
      <c r="CC190" s="95">
        <v>1</v>
      </c>
      <c r="CD190" s="98">
        <v>10</v>
      </c>
      <c r="CE190" s="95">
        <v>0</v>
      </c>
      <c r="CF190" s="98">
        <v>0</v>
      </c>
      <c r="CG190" s="95">
        <v>6</v>
      </c>
      <c r="CH190" s="98">
        <v>60</v>
      </c>
      <c r="CI190" s="95">
        <v>10</v>
      </c>
      <c r="CJ190" s="116" t="str">
        <f>REPLACE(INDEX(GroupVertices[Group],MATCH("~"&amp;Vertices[[#This Row],[Vertex]],GroupVertices[Vertex],0)),1,1,"")</f>
        <v>3</v>
      </c>
      <c r="CK190" s="95" t="s">
        <v>2353</v>
      </c>
      <c r="CL190" s="95" t="s">
        <v>2353</v>
      </c>
      <c r="CM190" s="95"/>
      <c r="CN190" s="95"/>
      <c r="CO190" s="2"/>
    </row>
    <row r="191" spans="1:93" ht="41.45" customHeight="1">
      <c r="A191" s="59" t="s">
        <v>231</v>
      </c>
      <c r="C191" s="125"/>
      <c r="D191" s="60" t="s">
        <v>64</v>
      </c>
      <c r="E191" s="129">
        <v>1.5</v>
      </c>
      <c r="F191" s="124"/>
      <c r="G191" s="92" t="str">
        <f>HYPERLINK("https://pbs.twimg.com/profile_images/1530390158822232064/IEoHz1fi_normal.jpg")</f>
        <v>https://pbs.twimg.com/profile_images/1530390158822232064/IEoHz1fi_normal.jpg</v>
      </c>
      <c r="H191" s="125"/>
      <c r="I191" s="64" t="str">
        <f>Vertices[[#This Row],[Vertex]]</f>
        <v>bve_kairi</v>
      </c>
      <c r="J191" s="126"/>
      <c r="K191" s="126"/>
      <c r="L191" s="130"/>
      <c r="M191" s="127"/>
      <c r="N191" s="131">
        <v>2073.820556640625</v>
      </c>
      <c r="O191" s="131">
        <v>675.6101684570312</v>
      </c>
      <c r="P191" s="132"/>
      <c r="Q191" s="133"/>
      <c r="R191" s="133"/>
      <c r="S191" s="134"/>
      <c r="T191" s="44">
        <v>1</v>
      </c>
      <c r="U191" s="44">
        <v>1</v>
      </c>
      <c r="V191" s="45">
        <v>0</v>
      </c>
      <c r="W191" s="45">
        <v>0</v>
      </c>
      <c r="X191" s="45">
        <v>0</v>
      </c>
      <c r="Y191" s="45">
        <v>0.003861</v>
      </c>
      <c r="Z191" s="45">
        <v>0</v>
      </c>
      <c r="AA191" s="45">
        <v>0</v>
      </c>
      <c r="AB191" s="135">
        <v>191</v>
      </c>
      <c r="AC19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1" s="67"/>
      <c r="AE191" t="s">
        <v>1558</v>
      </c>
      <c r="AF191" s="74" t="s">
        <v>1408</v>
      </c>
      <c r="AG191">
        <v>11</v>
      </c>
      <c r="AH191">
        <v>4</v>
      </c>
      <c r="AI191">
        <v>117631</v>
      </c>
      <c r="AJ191">
        <v>0</v>
      </c>
      <c r="AK191">
        <v>14</v>
      </c>
      <c r="AL191">
        <v>3</v>
      </c>
      <c r="AM191" t="b">
        <v>0</v>
      </c>
      <c r="AN191" s="73">
        <v>44709.142476851855</v>
      </c>
      <c r="AP191" t="s">
        <v>2043</v>
      </c>
      <c r="AY191" t="b">
        <v>0</v>
      </c>
      <c r="BB191" t="b">
        <v>0</v>
      </c>
      <c r="BC191" t="b">
        <v>1</v>
      </c>
      <c r="BD191" t="b">
        <v>1</v>
      </c>
      <c r="BE191" t="b">
        <v>0</v>
      </c>
      <c r="BF191" t="b">
        <v>0</v>
      </c>
      <c r="BG191" t="b">
        <v>0</v>
      </c>
      <c r="BH191" t="b">
        <v>0</v>
      </c>
      <c r="BK191" t="s">
        <v>2343</v>
      </c>
      <c r="BL191" t="b">
        <v>0</v>
      </c>
      <c r="BN191" t="s">
        <v>66</v>
      </c>
      <c r="BO191" t="s">
        <v>2345</v>
      </c>
      <c r="BP191" s="76" t="str">
        <f>HYPERLINK("https://twitter.com/bve_kairi")</f>
        <v>https://twitter.com/bve_kairi</v>
      </c>
      <c r="BQ191" s="44"/>
      <c r="BR191" s="44"/>
      <c r="BS191" s="44"/>
      <c r="BT191" s="44"/>
      <c r="BU191" s="44"/>
      <c r="BV191" s="44"/>
      <c r="BW191" s="95" t="s">
        <v>11431</v>
      </c>
      <c r="BX191" s="95" t="s">
        <v>11431</v>
      </c>
      <c r="BY191" s="95" t="s">
        <v>2491</v>
      </c>
      <c r="BZ191" s="95" t="s">
        <v>2491</v>
      </c>
      <c r="CA191" s="95">
        <v>3</v>
      </c>
      <c r="CB191" s="98">
        <v>75</v>
      </c>
      <c r="CC191" s="95">
        <v>0</v>
      </c>
      <c r="CD191" s="98">
        <v>0</v>
      </c>
      <c r="CE191" s="95">
        <v>0</v>
      </c>
      <c r="CF191" s="98">
        <v>0</v>
      </c>
      <c r="CG191" s="95">
        <v>1</v>
      </c>
      <c r="CH191" s="98">
        <v>25</v>
      </c>
      <c r="CI191" s="95">
        <v>4</v>
      </c>
      <c r="CJ191" s="116" t="str">
        <f>REPLACE(INDEX(GroupVertices[Group],MATCH("~"&amp;Vertices[[#This Row],[Vertex]],GroupVertices[Vertex],0)),1,1,"")</f>
        <v>3</v>
      </c>
      <c r="CK191" s="95"/>
      <c r="CL191" s="95"/>
      <c r="CM191" s="95"/>
      <c r="CN191" s="95"/>
      <c r="CO191" s="2"/>
    </row>
    <row r="192" spans="1:93" ht="41.45" customHeight="1">
      <c r="A192" s="59" t="s">
        <v>329</v>
      </c>
      <c r="C192" s="60"/>
      <c r="D192" s="60" t="s">
        <v>64</v>
      </c>
      <c r="E192" s="61"/>
      <c r="F192" s="63"/>
      <c r="G192" s="92" t="str">
        <f>HYPERLINK("https://abs.twimg.com/sticky/default_profile_images/default_profile_normal.png")</f>
        <v>https://abs.twimg.com/sticky/default_profile_images/default_profile_normal.png</v>
      </c>
      <c r="H192" s="60"/>
      <c r="I192" s="64" t="str">
        <f>Vertices[[#This Row],[Vertex]]</f>
        <v>pmf_qu</v>
      </c>
      <c r="J192" s="65"/>
      <c r="K192" s="65"/>
      <c r="L192" s="64"/>
      <c r="M192" s="68"/>
      <c r="N192" s="69">
        <v>4430.2685546875</v>
      </c>
      <c r="O192" s="69">
        <v>7096.75244140625</v>
      </c>
      <c r="P192" s="70"/>
      <c r="Q192" s="71"/>
      <c r="R192" s="71"/>
      <c r="S192" s="78"/>
      <c r="T192" s="44">
        <v>0</v>
      </c>
      <c r="U192" s="44">
        <v>17</v>
      </c>
      <c r="V192" s="45">
        <v>12617.153407</v>
      </c>
      <c r="W192" s="45">
        <v>0.191016</v>
      </c>
      <c r="X192" s="45">
        <v>0.029932</v>
      </c>
      <c r="Y192" s="45">
        <v>0.007018</v>
      </c>
      <c r="Z192" s="45">
        <v>0</v>
      </c>
      <c r="AA192" s="45">
        <v>0</v>
      </c>
      <c r="AB192" s="66">
        <v>192</v>
      </c>
      <c r="AC1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2" s="67"/>
      <c r="AE192" t="s">
        <v>1776</v>
      </c>
      <c r="AF192" s="74" t="s">
        <v>1474</v>
      </c>
      <c r="AG192">
        <v>4</v>
      </c>
      <c r="AH192">
        <v>49</v>
      </c>
      <c r="AI192">
        <v>3642</v>
      </c>
      <c r="AJ192">
        <v>0</v>
      </c>
      <c r="AK192">
        <v>58</v>
      </c>
      <c r="AL192">
        <v>1</v>
      </c>
      <c r="AM192" t="b">
        <v>0</v>
      </c>
      <c r="AN192" s="73">
        <v>44395.486446759256</v>
      </c>
      <c r="AY192" t="b">
        <v>0</v>
      </c>
      <c r="BB192" t="b">
        <v>0</v>
      </c>
      <c r="BC192" t="b">
        <v>1</v>
      </c>
      <c r="BD192" t="b">
        <v>1</v>
      </c>
      <c r="BE192" t="b">
        <v>1</v>
      </c>
      <c r="BF192" t="b">
        <v>1</v>
      </c>
      <c r="BG192" t="b">
        <v>0</v>
      </c>
      <c r="BH192" t="b">
        <v>0</v>
      </c>
      <c r="BK192" t="s">
        <v>2343</v>
      </c>
      <c r="BL192" t="b">
        <v>0</v>
      </c>
      <c r="BN192" t="s">
        <v>66</v>
      </c>
      <c r="BO192" t="s">
        <v>2345</v>
      </c>
      <c r="BP192" s="76" t="str">
        <f>HYPERLINK("https://twitter.com/pmf_qu")</f>
        <v>https://twitter.com/pmf_qu</v>
      </c>
      <c r="BQ192" s="44"/>
      <c r="BR192" s="44"/>
      <c r="BS192" s="44"/>
      <c r="BT192" s="44"/>
      <c r="BU192" s="44" t="s">
        <v>2421</v>
      </c>
      <c r="BV192" s="44" t="s">
        <v>2427</v>
      </c>
      <c r="BW192" s="95" t="s">
        <v>11432</v>
      </c>
      <c r="BX192" s="95" t="s">
        <v>11476</v>
      </c>
      <c r="BY192" s="95" t="s">
        <v>3459</v>
      </c>
      <c r="BZ192" s="95" t="s">
        <v>3465</v>
      </c>
      <c r="CA192" s="95">
        <v>46</v>
      </c>
      <c r="CB192" s="98">
        <v>17.557251908396946</v>
      </c>
      <c r="CC192" s="95">
        <v>11</v>
      </c>
      <c r="CD192" s="98">
        <v>4.198473282442748</v>
      </c>
      <c r="CE192" s="95">
        <v>0</v>
      </c>
      <c r="CF192" s="98">
        <v>0</v>
      </c>
      <c r="CG192" s="95">
        <v>205</v>
      </c>
      <c r="CH192" s="98">
        <v>78.2442748091603</v>
      </c>
      <c r="CI192" s="95">
        <v>262</v>
      </c>
      <c r="CJ192" s="116" t="str">
        <f>REPLACE(INDEX(GroupVertices[Group],MATCH("~"&amp;Vertices[[#This Row],[Vertex]],GroupVertices[Vertex],0)),1,1,"")</f>
        <v>5</v>
      </c>
      <c r="CK192" s="95"/>
      <c r="CL192" s="95"/>
      <c r="CM192" s="95" t="s">
        <v>2421</v>
      </c>
      <c r="CN192" s="95" t="s">
        <v>2427</v>
      </c>
      <c r="CO192" s="2"/>
    </row>
    <row r="193" spans="1:93" ht="41.45" customHeight="1">
      <c r="A193" s="59" t="s">
        <v>284</v>
      </c>
      <c r="C193" s="60"/>
      <c r="D193" s="60" t="s">
        <v>64</v>
      </c>
      <c r="E193" s="61"/>
      <c r="F193" s="63"/>
      <c r="G193" s="92" t="str">
        <f>HYPERLINK("https://pbs.twimg.com/profile_images/787179474219511810/khs5nh5C_normal.jpg")</f>
        <v>https://pbs.twimg.com/profile_images/787179474219511810/khs5nh5C_normal.jpg</v>
      </c>
      <c r="H193" s="60"/>
      <c r="I193" s="64" t="str">
        <f>Vertices[[#This Row],[Vertex]]</f>
        <v>hudsuharg</v>
      </c>
      <c r="J193" s="65"/>
      <c r="K193" s="65"/>
      <c r="L193" s="64"/>
      <c r="M193" s="68"/>
      <c r="N193" s="69">
        <v>2191.098388671875</v>
      </c>
      <c r="O193" s="69">
        <v>7255.044921875</v>
      </c>
      <c r="P193" s="70"/>
      <c r="Q193" s="71"/>
      <c r="R193" s="71"/>
      <c r="S193" s="78"/>
      <c r="T193" s="44">
        <v>0</v>
      </c>
      <c r="U193" s="44">
        <v>27</v>
      </c>
      <c r="V193" s="45">
        <v>9717.495388</v>
      </c>
      <c r="W193" s="45">
        <v>0.171517</v>
      </c>
      <c r="X193" s="45">
        <v>0.042811</v>
      </c>
      <c r="Y193" s="45">
        <v>0.013857</v>
      </c>
      <c r="Z193" s="45">
        <v>0.0014245014245014246</v>
      </c>
      <c r="AA193" s="45">
        <v>0</v>
      </c>
      <c r="AB193" s="66">
        <v>193</v>
      </c>
      <c r="AC1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3" s="67"/>
      <c r="AE193" t="s">
        <v>1668</v>
      </c>
      <c r="AF193" s="74" t="s">
        <v>1445</v>
      </c>
      <c r="AG193">
        <v>532</v>
      </c>
      <c r="AH193">
        <v>478</v>
      </c>
      <c r="AI193">
        <v>17395</v>
      </c>
      <c r="AJ193">
        <v>0</v>
      </c>
      <c r="AK193">
        <v>19868</v>
      </c>
      <c r="AL193">
        <v>307</v>
      </c>
      <c r="AM193" t="b">
        <v>0</v>
      </c>
      <c r="AN193" s="73">
        <v>42658.26137731481</v>
      </c>
      <c r="AO193" t="s">
        <v>1973</v>
      </c>
      <c r="AP193" t="s">
        <v>2139</v>
      </c>
      <c r="AY193" t="b">
        <v>0</v>
      </c>
      <c r="BB193" t="b">
        <v>0</v>
      </c>
      <c r="BC193" t="b">
        <v>0</v>
      </c>
      <c r="BD193" t="b">
        <v>1</v>
      </c>
      <c r="BE193" t="b">
        <v>0</v>
      </c>
      <c r="BF193" t="b">
        <v>1</v>
      </c>
      <c r="BG193" t="b">
        <v>0</v>
      </c>
      <c r="BH193" t="b">
        <v>0</v>
      </c>
      <c r="BI193" s="76" t="str">
        <f>HYPERLINK("https://pbs.twimg.com/profile_banners/787175266908934144/1558579712")</f>
        <v>https://pbs.twimg.com/profile_banners/787175266908934144/1558579712</v>
      </c>
      <c r="BK193" t="s">
        <v>2343</v>
      </c>
      <c r="BL193" t="b">
        <v>0</v>
      </c>
      <c r="BN193" t="s">
        <v>66</v>
      </c>
      <c r="BO193" t="s">
        <v>2345</v>
      </c>
      <c r="BP193" s="76" t="str">
        <f>HYPERLINK("https://twitter.com/hudsuharg")</f>
        <v>https://twitter.com/hudsuharg</v>
      </c>
      <c r="BQ193" s="44"/>
      <c r="BR193" s="44"/>
      <c r="BS193" s="44"/>
      <c r="BT193" s="44"/>
      <c r="BU193" s="44" t="s">
        <v>682</v>
      </c>
      <c r="BV193" s="44" t="s">
        <v>682</v>
      </c>
      <c r="BW193" s="95" t="s">
        <v>11380</v>
      </c>
      <c r="BX193" s="95" t="s">
        <v>3439</v>
      </c>
      <c r="BY193" s="95" t="s">
        <v>3457</v>
      </c>
      <c r="BZ193" s="95" t="s">
        <v>3464</v>
      </c>
      <c r="CA193" s="95">
        <v>41</v>
      </c>
      <c r="CB193" s="98">
        <v>21.925133689839573</v>
      </c>
      <c r="CC193" s="95">
        <v>3</v>
      </c>
      <c r="CD193" s="98">
        <v>1.6042780748663101</v>
      </c>
      <c r="CE193" s="95">
        <v>0</v>
      </c>
      <c r="CF193" s="98">
        <v>0</v>
      </c>
      <c r="CG193" s="95">
        <v>143</v>
      </c>
      <c r="CH193" s="98">
        <v>76.47058823529412</v>
      </c>
      <c r="CI193" s="95">
        <v>187</v>
      </c>
      <c r="CJ193" s="116" t="str">
        <f>REPLACE(INDEX(GroupVertices[Group],MATCH("~"&amp;Vertices[[#This Row],[Vertex]],GroupVertices[Vertex],0)),1,1,"")</f>
        <v>2</v>
      </c>
      <c r="CK193" s="95"/>
      <c r="CL193" s="95"/>
      <c r="CM193" s="95" t="s">
        <v>682</v>
      </c>
      <c r="CN193" s="95" t="s">
        <v>682</v>
      </c>
      <c r="CO193" s="2"/>
    </row>
    <row r="194" spans="1:93" ht="41.45" customHeight="1">
      <c r="A194" s="59" t="s">
        <v>269</v>
      </c>
      <c r="C194" s="60"/>
      <c r="D194" s="60" t="s">
        <v>64</v>
      </c>
      <c r="E194" s="61"/>
      <c r="F194" s="63"/>
      <c r="G194" s="92" t="str">
        <f>HYPERLINK("https://pbs.twimg.com/profile_images/1598949437656924160/LdPX9LJn_normal.jpg")</f>
        <v>https://pbs.twimg.com/profile_images/1598949437656924160/LdPX9LJn_normal.jpg</v>
      </c>
      <c r="H194" s="60"/>
      <c r="I194" s="64" t="str">
        <f>Vertices[[#This Row],[Vertex]]</f>
        <v>mmargani5</v>
      </c>
      <c r="J194" s="65"/>
      <c r="K194" s="65"/>
      <c r="L194" s="64"/>
      <c r="M194" s="68"/>
      <c r="N194" s="69">
        <v>6062.8740234375</v>
      </c>
      <c r="O194" s="69">
        <v>1896.0709228515625</v>
      </c>
      <c r="P194" s="70"/>
      <c r="Q194" s="71"/>
      <c r="R194" s="71"/>
      <c r="S194" s="78"/>
      <c r="T194" s="44">
        <v>0</v>
      </c>
      <c r="U194" s="44">
        <v>10</v>
      </c>
      <c r="V194" s="45">
        <v>1996.551748</v>
      </c>
      <c r="W194" s="45">
        <v>0.150719</v>
      </c>
      <c r="X194" s="45">
        <v>0.017668</v>
      </c>
      <c r="Y194" s="45">
        <v>0.006079</v>
      </c>
      <c r="Z194" s="45">
        <v>0.011111111111111112</v>
      </c>
      <c r="AA194" s="45">
        <v>0</v>
      </c>
      <c r="AB194" s="66">
        <v>194</v>
      </c>
      <c r="AC1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4" s="67"/>
      <c r="AE194" t="s">
        <v>1632</v>
      </c>
      <c r="AF194" s="74" t="s">
        <v>1436</v>
      </c>
      <c r="AG194">
        <v>15084</v>
      </c>
      <c r="AH194">
        <v>9817</v>
      </c>
      <c r="AI194">
        <v>96034</v>
      </c>
      <c r="AJ194">
        <v>4</v>
      </c>
      <c r="AK194">
        <v>117983</v>
      </c>
      <c r="AL194">
        <v>2438</v>
      </c>
      <c r="AM194" t="b">
        <v>0</v>
      </c>
      <c r="AN194" s="73">
        <v>43323.1546875</v>
      </c>
      <c r="AP194" t="s">
        <v>2105</v>
      </c>
      <c r="AW194">
        <v>1.72771491289676E+18</v>
      </c>
      <c r="AY194" t="b">
        <v>0</v>
      </c>
      <c r="BB194" t="b">
        <v>0</v>
      </c>
      <c r="BC194" t="b">
        <v>0</v>
      </c>
      <c r="BD194" t="b">
        <v>1</v>
      </c>
      <c r="BE194" t="b">
        <v>0</v>
      </c>
      <c r="BF194" t="b">
        <v>1</v>
      </c>
      <c r="BG194" t="b">
        <v>0</v>
      </c>
      <c r="BH194" t="b">
        <v>0</v>
      </c>
      <c r="BI194" s="76" t="str">
        <f>HYPERLINK("https://pbs.twimg.com/profile_banners/1028124533201371136/1699161454")</f>
        <v>https://pbs.twimg.com/profile_banners/1028124533201371136/1699161454</v>
      </c>
      <c r="BK194" t="s">
        <v>2343</v>
      </c>
      <c r="BL194" t="b">
        <v>0</v>
      </c>
      <c r="BN194" t="s">
        <v>66</v>
      </c>
      <c r="BO194" t="s">
        <v>2345</v>
      </c>
      <c r="BP194" s="76" t="str">
        <f>HYPERLINK("https://twitter.com/mmargani5")</f>
        <v>https://twitter.com/mmargani5</v>
      </c>
      <c r="BQ194" s="44"/>
      <c r="BR194" s="44"/>
      <c r="BS194" s="44"/>
      <c r="BT194" s="44"/>
      <c r="BU194" s="44"/>
      <c r="BV194" s="44"/>
      <c r="BW194" s="95" t="s">
        <v>11433</v>
      </c>
      <c r="BX194" s="95" t="s">
        <v>3432</v>
      </c>
      <c r="BY194" s="95" t="s">
        <v>3455</v>
      </c>
      <c r="BZ194" s="95" t="s">
        <v>3462</v>
      </c>
      <c r="CA194" s="95">
        <v>12</v>
      </c>
      <c r="CB194" s="98">
        <v>18.46153846153846</v>
      </c>
      <c r="CC194" s="95">
        <v>1</v>
      </c>
      <c r="CD194" s="98">
        <v>1.5384615384615385</v>
      </c>
      <c r="CE194" s="95">
        <v>0</v>
      </c>
      <c r="CF194" s="98">
        <v>0</v>
      </c>
      <c r="CG194" s="95">
        <v>52</v>
      </c>
      <c r="CH194" s="98">
        <v>80</v>
      </c>
      <c r="CI194" s="95">
        <v>65</v>
      </c>
      <c r="CJ194" s="116" t="str">
        <f>REPLACE(INDEX(GroupVertices[Group],MATCH("~"&amp;Vertices[[#This Row],[Vertex]],GroupVertices[Vertex],0)),1,1,"")</f>
        <v>10</v>
      </c>
      <c r="CK194" s="95"/>
      <c r="CL194" s="95"/>
      <c r="CM194" s="95"/>
      <c r="CN194" s="95"/>
      <c r="CO194" s="2"/>
    </row>
    <row r="195" spans="1:93" ht="41.45" customHeight="1">
      <c r="A195" s="59" t="s">
        <v>274</v>
      </c>
      <c r="C195" s="60"/>
      <c r="D195" s="60" t="s">
        <v>64</v>
      </c>
      <c r="E195" s="61"/>
      <c r="F195" s="63"/>
      <c r="G195" s="92" t="str">
        <f>HYPERLINK("https://pbs.twimg.com/profile_images/1465976076337823749/7hDeQshF_normal.png")</f>
        <v>https://pbs.twimg.com/profile_images/1465976076337823749/7hDeQshF_normal.png</v>
      </c>
      <c r="H195" s="60"/>
      <c r="I195" s="64" t="str">
        <f>Vertices[[#This Row],[Vertex]]</f>
        <v>ahamad_ghazali</v>
      </c>
      <c r="J195" s="65"/>
      <c r="K195" s="65"/>
      <c r="L195" s="64"/>
      <c r="M195" s="68"/>
      <c r="N195" s="69">
        <v>4218.28662109375</v>
      </c>
      <c r="O195" s="69">
        <v>3385.435546875</v>
      </c>
      <c r="P195" s="70"/>
      <c r="Q195" s="71"/>
      <c r="R195" s="71"/>
      <c r="S195" s="78"/>
      <c r="T195" s="44">
        <v>0</v>
      </c>
      <c r="U195" s="44">
        <v>6</v>
      </c>
      <c r="V195" s="45">
        <v>1725.761969</v>
      </c>
      <c r="W195" s="45">
        <v>0.150469</v>
      </c>
      <c r="X195" s="45">
        <v>0.004361</v>
      </c>
      <c r="Y195" s="45">
        <v>0.005235</v>
      </c>
      <c r="Z195" s="45">
        <v>0</v>
      </c>
      <c r="AA195" s="45">
        <v>0</v>
      </c>
      <c r="AB195" s="66">
        <v>195</v>
      </c>
      <c r="AC1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5" s="67"/>
      <c r="AE195" t="s">
        <v>1649</v>
      </c>
      <c r="AF195" s="74" t="s">
        <v>1438</v>
      </c>
      <c r="AG195">
        <v>3</v>
      </c>
      <c r="AH195">
        <v>228</v>
      </c>
      <c r="AI195">
        <v>266</v>
      </c>
      <c r="AJ195">
        <v>0</v>
      </c>
      <c r="AK195">
        <v>14</v>
      </c>
      <c r="AL195">
        <v>45</v>
      </c>
      <c r="AM195" t="b">
        <v>0</v>
      </c>
      <c r="AN195" s="73">
        <v>44531.39475694444</v>
      </c>
      <c r="AP195" t="s">
        <v>2122</v>
      </c>
      <c r="AY195" t="b">
        <v>0</v>
      </c>
      <c r="BB195" t="b">
        <v>0</v>
      </c>
      <c r="BC195" t="b">
        <v>1</v>
      </c>
      <c r="BD195" t="b">
        <v>1</v>
      </c>
      <c r="BE195" t="b">
        <v>0</v>
      </c>
      <c r="BF195" t="b">
        <v>0</v>
      </c>
      <c r="BG195" t="b">
        <v>0</v>
      </c>
      <c r="BH195" t="b">
        <v>0</v>
      </c>
      <c r="BK195" t="s">
        <v>2343</v>
      </c>
      <c r="BL195" t="b">
        <v>0</v>
      </c>
      <c r="BN195" t="s">
        <v>66</v>
      </c>
      <c r="BO195" t="s">
        <v>2345</v>
      </c>
      <c r="BP195" s="76" t="str">
        <f>HYPERLINK("https://twitter.com/ahamad_ghazali")</f>
        <v>https://twitter.com/ahamad_ghazali</v>
      </c>
      <c r="BQ195" s="44"/>
      <c r="BR195" s="44"/>
      <c r="BS195" s="44"/>
      <c r="BT195" s="44"/>
      <c r="BU195" s="44"/>
      <c r="BV195" s="44"/>
      <c r="BW195" s="95" t="s">
        <v>11434</v>
      </c>
      <c r="BX195" s="95" t="s">
        <v>11477</v>
      </c>
      <c r="BY195" s="95" t="s">
        <v>2526</v>
      </c>
      <c r="BZ195" s="95" t="s">
        <v>2584</v>
      </c>
      <c r="CA195" s="95">
        <v>28</v>
      </c>
      <c r="CB195" s="98">
        <v>32.18390804597701</v>
      </c>
      <c r="CC195" s="95">
        <v>5</v>
      </c>
      <c r="CD195" s="98">
        <v>5.747126436781609</v>
      </c>
      <c r="CE195" s="95">
        <v>0</v>
      </c>
      <c r="CF195" s="98">
        <v>0</v>
      </c>
      <c r="CG195" s="95">
        <v>54</v>
      </c>
      <c r="CH195" s="98">
        <v>62.06896551724138</v>
      </c>
      <c r="CI195" s="95">
        <v>87</v>
      </c>
      <c r="CJ195" s="116" t="str">
        <f>REPLACE(INDEX(GroupVertices[Group],MATCH("~"&amp;Vertices[[#This Row],[Vertex]],GroupVertices[Vertex],0)),1,1,"")</f>
        <v>8</v>
      </c>
      <c r="CK195" s="95"/>
      <c r="CL195" s="95"/>
      <c r="CM195" s="95"/>
      <c r="CN195" s="95"/>
      <c r="CO195" s="2"/>
    </row>
    <row r="196" spans="1:93" ht="41.45" customHeight="1">
      <c r="A196" s="59" t="s">
        <v>280</v>
      </c>
      <c r="C196" s="60"/>
      <c r="D196" s="60" t="s">
        <v>64</v>
      </c>
      <c r="E196" s="61"/>
      <c r="F196" s="63"/>
      <c r="G196" s="92" t="str">
        <f>HYPERLINK("https://pbs.twimg.com/profile_images/1341577639702659072/fJ_5NTff_normal.jpg")</f>
        <v>https://pbs.twimg.com/profile_images/1341577639702659072/fJ_5NTff_normal.jpg</v>
      </c>
      <c r="H196" s="60"/>
      <c r="I196" s="64" t="str">
        <f>Vertices[[#This Row],[Vertex]]</f>
        <v>esupriatna20</v>
      </c>
      <c r="J196" s="65"/>
      <c r="K196" s="65"/>
      <c r="L196" s="64"/>
      <c r="M196" s="68"/>
      <c r="N196" s="69">
        <v>6276.61083984375</v>
      </c>
      <c r="O196" s="69">
        <v>8527.947265625</v>
      </c>
      <c r="P196" s="70"/>
      <c r="Q196" s="71"/>
      <c r="R196" s="71"/>
      <c r="S196" s="78"/>
      <c r="T196" s="44">
        <v>0</v>
      </c>
      <c r="U196" s="44">
        <v>2</v>
      </c>
      <c r="V196" s="45">
        <v>248.315735</v>
      </c>
      <c r="W196" s="45">
        <v>0.145872</v>
      </c>
      <c r="X196" s="45">
        <v>0.005783</v>
      </c>
      <c r="Y196" s="45">
        <v>0.003497</v>
      </c>
      <c r="Z196" s="45">
        <v>0</v>
      </c>
      <c r="AA196" s="45">
        <v>0</v>
      </c>
      <c r="AB196" s="66">
        <v>196</v>
      </c>
      <c r="AC1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6" s="67"/>
      <c r="AE196" t="s">
        <v>1663</v>
      </c>
      <c r="AF196" s="74" t="s">
        <v>1442</v>
      </c>
      <c r="AG196">
        <v>43</v>
      </c>
      <c r="AH196">
        <v>239</v>
      </c>
      <c r="AI196">
        <v>4746</v>
      </c>
      <c r="AJ196">
        <v>0</v>
      </c>
      <c r="AK196">
        <v>3613</v>
      </c>
      <c r="AL196">
        <v>24</v>
      </c>
      <c r="AM196" t="b">
        <v>0</v>
      </c>
      <c r="AN196" s="73">
        <v>44188.119618055556</v>
      </c>
      <c r="AP196" t="s">
        <v>2135</v>
      </c>
      <c r="AY196" t="b">
        <v>0</v>
      </c>
      <c r="BB196" t="b">
        <v>0</v>
      </c>
      <c r="BC196" t="b">
        <v>1</v>
      </c>
      <c r="BD196" t="b">
        <v>1</v>
      </c>
      <c r="BE196" t="b">
        <v>0</v>
      </c>
      <c r="BF196" t="b">
        <v>0</v>
      </c>
      <c r="BG196" t="b">
        <v>0</v>
      </c>
      <c r="BH196" t="b">
        <v>0</v>
      </c>
      <c r="BK196" t="s">
        <v>2343</v>
      </c>
      <c r="BL196" t="b">
        <v>0</v>
      </c>
      <c r="BN196" t="s">
        <v>66</v>
      </c>
      <c r="BO196" t="s">
        <v>2345</v>
      </c>
      <c r="BP196" s="76" t="str">
        <f>HYPERLINK("https://twitter.com/esupriatna20")</f>
        <v>https://twitter.com/esupriatna20</v>
      </c>
      <c r="BQ196" s="44"/>
      <c r="BR196" s="44"/>
      <c r="BS196" s="44"/>
      <c r="BT196" s="44"/>
      <c r="BU196" s="44"/>
      <c r="BV196" s="44"/>
      <c r="BW196" s="95" t="s">
        <v>11435</v>
      </c>
      <c r="BX196" s="95" t="s">
        <v>3434</v>
      </c>
      <c r="BY196" s="95" t="s">
        <v>2532</v>
      </c>
      <c r="BZ196" s="95" t="s">
        <v>3463</v>
      </c>
      <c r="CA196" s="95">
        <v>8</v>
      </c>
      <c r="CB196" s="98">
        <v>50</v>
      </c>
      <c r="CC196" s="95">
        <v>0</v>
      </c>
      <c r="CD196" s="98">
        <v>0</v>
      </c>
      <c r="CE196" s="95">
        <v>0</v>
      </c>
      <c r="CF196" s="98">
        <v>0</v>
      </c>
      <c r="CG196" s="95">
        <v>8</v>
      </c>
      <c r="CH196" s="98">
        <v>50</v>
      </c>
      <c r="CI196" s="95">
        <v>16</v>
      </c>
      <c r="CJ196" s="116" t="str">
        <f>REPLACE(INDEX(GroupVertices[Group],MATCH("~"&amp;Vertices[[#This Row],[Vertex]],GroupVertices[Vertex],0)),1,1,"")</f>
        <v>12</v>
      </c>
      <c r="CK196" s="95"/>
      <c r="CL196" s="95"/>
      <c r="CM196" s="95"/>
      <c r="CN196" s="95"/>
      <c r="CO196" s="2"/>
    </row>
    <row r="197" spans="1:93" ht="41.45" customHeight="1">
      <c r="A197" s="59" t="s">
        <v>302</v>
      </c>
      <c r="C197" s="60"/>
      <c r="D197" s="60" t="s">
        <v>64</v>
      </c>
      <c r="E197" s="61"/>
      <c r="F197" s="63"/>
      <c r="G197" s="92" t="str">
        <f>HYPERLINK("https://pbs.twimg.com/profile_images/1721856157793546240/V5-hrh7i_normal.jpg")</f>
        <v>https://pbs.twimg.com/profile_images/1721856157793546240/V5-hrh7i_normal.jpg</v>
      </c>
      <c r="H197" s="60"/>
      <c r="I197" s="64" t="str">
        <f>Vertices[[#This Row],[Vertex]]</f>
        <v>mr_arogan_</v>
      </c>
      <c r="J197" s="65"/>
      <c r="K197" s="65"/>
      <c r="L197" s="64"/>
      <c r="M197" s="68"/>
      <c r="N197" s="69">
        <v>3238.28857421875</v>
      </c>
      <c r="O197" s="69">
        <v>1255.1126708984375</v>
      </c>
      <c r="P197" s="70"/>
      <c r="Q197" s="71"/>
      <c r="R197" s="71"/>
      <c r="S197" s="78"/>
      <c r="T197" s="44">
        <v>0</v>
      </c>
      <c r="U197" s="44">
        <v>1</v>
      </c>
      <c r="V197" s="45">
        <v>0</v>
      </c>
      <c r="W197" s="45">
        <v>0.142661</v>
      </c>
      <c r="X197" s="45">
        <v>0.0045</v>
      </c>
      <c r="Y197" s="45">
        <v>0.003365</v>
      </c>
      <c r="Z197" s="45">
        <v>0</v>
      </c>
      <c r="AA197" s="45">
        <v>0</v>
      </c>
      <c r="AB197" s="66">
        <v>197</v>
      </c>
      <c r="AC1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7" s="67"/>
      <c r="AE197" t="s">
        <v>1742</v>
      </c>
      <c r="AF197" s="74" t="s">
        <v>1458</v>
      </c>
      <c r="AG197">
        <v>12274</v>
      </c>
      <c r="AH197">
        <v>8852</v>
      </c>
      <c r="AI197">
        <v>21240</v>
      </c>
      <c r="AJ197">
        <v>0</v>
      </c>
      <c r="AK197">
        <v>52506</v>
      </c>
      <c r="AL197">
        <v>577</v>
      </c>
      <c r="AM197" t="b">
        <v>0</v>
      </c>
      <c r="AN197" s="73">
        <v>43852.63475694445</v>
      </c>
      <c r="AO197" t="s">
        <v>1961</v>
      </c>
      <c r="AP197" t="s">
        <v>2209</v>
      </c>
      <c r="AW197">
        <v>1.49882633072896E+18</v>
      </c>
      <c r="AY197" t="b">
        <v>0</v>
      </c>
      <c r="BB197" t="b">
        <v>0</v>
      </c>
      <c r="BC197" t="b">
        <v>0</v>
      </c>
      <c r="BD197" t="b">
        <v>1</v>
      </c>
      <c r="BE197" t="b">
        <v>0</v>
      </c>
      <c r="BF197" t="b">
        <v>1</v>
      </c>
      <c r="BG197" t="b">
        <v>0</v>
      </c>
      <c r="BH197" t="b">
        <v>0</v>
      </c>
      <c r="BI197" s="76" t="str">
        <f>HYPERLINK("https://pbs.twimg.com/profile_banners/1220001613361770497/1633666189")</f>
        <v>https://pbs.twimg.com/profile_banners/1220001613361770497/1633666189</v>
      </c>
      <c r="BK197" t="s">
        <v>2343</v>
      </c>
      <c r="BL197" t="b">
        <v>0</v>
      </c>
      <c r="BN197" t="s">
        <v>66</v>
      </c>
      <c r="BO197" t="s">
        <v>2345</v>
      </c>
      <c r="BP197" s="76" t="str">
        <f>HYPERLINK("https://twitter.com/mr_arogan_")</f>
        <v>https://twitter.com/mr_arogan_</v>
      </c>
      <c r="BQ197" s="44"/>
      <c r="BR197" s="44"/>
      <c r="BS197" s="44"/>
      <c r="BT197" s="44"/>
      <c r="BU197" s="44" t="s">
        <v>682</v>
      </c>
      <c r="BV197" s="44" t="s">
        <v>682</v>
      </c>
      <c r="BW197" s="95" t="s">
        <v>2453</v>
      </c>
      <c r="BX197" s="95" t="s">
        <v>2453</v>
      </c>
      <c r="BY197" s="95" t="s">
        <v>2549</v>
      </c>
      <c r="BZ197" s="95" t="s">
        <v>2549</v>
      </c>
      <c r="CA197" s="95">
        <v>5</v>
      </c>
      <c r="CB197" s="98">
        <v>17.24137931034483</v>
      </c>
      <c r="CC197" s="95">
        <v>0</v>
      </c>
      <c r="CD197" s="98">
        <v>0</v>
      </c>
      <c r="CE197" s="95">
        <v>0</v>
      </c>
      <c r="CF197" s="98">
        <v>0</v>
      </c>
      <c r="CG197" s="95">
        <v>24</v>
      </c>
      <c r="CH197" s="98">
        <v>82.75862068965517</v>
      </c>
      <c r="CI197" s="95">
        <v>29</v>
      </c>
      <c r="CJ197" s="116" t="str">
        <f>REPLACE(INDEX(GroupVertices[Group],MATCH("~"&amp;Vertices[[#This Row],[Vertex]],GroupVertices[Vertex],0)),1,1,"")</f>
        <v>6</v>
      </c>
      <c r="CK197" s="95"/>
      <c r="CL197" s="95"/>
      <c r="CM197" s="95" t="s">
        <v>682</v>
      </c>
      <c r="CN197" s="95" t="s">
        <v>682</v>
      </c>
      <c r="CO197" s="2"/>
    </row>
    <row r="198" spans="1:93" ht="41.45" customHeight="1">
      <c r="A198" s="59" t="s">
        <v>278</v>
      </c>
      <c r="C198" s="60"/>
      <c r="D198" s="60" t="s">
        <v>64</v>
      </c>
      <c r="E198" s="61"/>
      <c r="F198" s="63"/>
      <c r="G198" s="92" t="str">
        <f>HYPERLINK("https://pbs.twimg.com/profile_images/1718618960466415617/yCO718Gu_normal.jpg")</f>
        <v>https://pbs.twimg.com/profile_images/1718618960466415617/yCO718Gu_normal.jpg</v>
      </c>
      <c r="H198" s="60"/>
      <c r="I198" s="64" t="str">
        <f>Vertices[[#This Row],[Vertex]]</f>
        <v>ucoxregar</v>
      </c>
      <c r="J198" s="65"/>
      <c r="K198" s="65"/>
      <c r="L198" s="64"/>
      <c r="M198" s="68"/>
      <c r="N198" s="69">
        <v>3573.599853515625</v>
      </c>
      <c r="O198" s="69">
        <v>948.18115234375</v>
      </c>
      <c r="P198" s="70"/>
      <c r="Q198" s="71"/>
      <c r="R198" s="71"/>
      <c r="S198" s="78"/>
      <c r="T198" s="44">
        <v>0</v>
      </c>
      <c r="U198" s="44">
        <v>1</v>
      </c>
      <c r="V198" s="45">
        <v>0</v>
      </c>
      <c r="W198" s="45">
        <v>0.142661</v>
      </c>
      <c r="X198" s="45">
        <v>0.0045</v>
      </c>
      <c r="Y198" s="45">
        <v>0.003365</v>
      </c>
      <c r="Z198" s="45">
        <v>0</v>
      </c>
      <c r="AA198" s="45">
        <v>0</v>
      </c>
      <c r="AB198" s="66">
        <v>198</v>
      </c>
      <c r="AC1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8" s="67"/>
      <c r="AE198" t="s">
        <v>1660</v>
      </c>
      <c r="AF198" s="74" t="s">
        <v>1440</v>
      </c>
      <c r="AG198">
        <v>3084</v>
      </c>
      <c r="AH198">
        <v>3673</v>
      </c>
      <c r="AI198">
        <v>93435</v>
      </c>
      <c r="AJ198">
        <v>0</v>
      </c>
      <c r="AK198">
        <v>173554</v>
      </c>
      <c r="AL198">
        <v>3051</v>
      </c>
      <c r="AM198" t="b">
        <v>0</v>
      </c>
      <c r="AN198" s="73">
        <v>42706.07195601852</v>
      </c>
      <c r="AP198" t="s">
        <v>2132</v>
      </c>
      <c r="AW198">
        <v>1.31438423754229E+18</v>
      </c>
      <c r="AY198" t="b">
        <v>0</v>
      </c>
      <c r="BB198" t="b">
        <v>0</v>
      </c>
      <c r="BC198" t="b">
        <v>1</v>
      </c>
      <c r="BD198" t="b">
        <v>1</v>
      </c>
      <c r="BE198" t="b">
        <v>0</v>
      </c>
      <c r="BF198" t="b">
        <v>1</v>
      </c>
      <c r="BG198" t="b">
        <v>0</v>
      </c>
      <c r="BH198" t="b">
        <v>0</v>
      </c>
      <c r="BI198" s="76" t="str">
        <f>HYPERLINK("https://pbs.twimg.com/profile_banners/804501241594191872/1607350283")</f>
        <v>https://pbs.twimg.com/profile_banners/804501241594191872/1607350283</v>
      </c>
      <c r="BK198" t="s">
        <v>2343</v>
      </c>
      <c r="BL198" t="b">
        <v>0</v>
      </c>
      <c r="BN198" t="s">
        <v>66</v>
      </c>
      <c r="BO198" t="s">
        <v>2345</v>
      </c>
      <c r="BP198" s="76" t="str">
        <f>HYPERLINK("https://twitter.com/ucoxregar")</f>
        <v>https://twitter.com/ucoxregar</v>
      </c>
      <c r="BQ198" s="44"/>
      <c r="BR198" s="44"/>
      <c r="BS198" s="44"/>
      <c r="BT198" s="44"/>
      <c r="BU198" s="44"/>
      <c r="BV198" s="44"/>
      <c r="BW198" s="95" t="s">
        <v>3293</v>
      </c>
      <c r="BX198" s="95" t="s">
        <v>3293</v>
      </c>
      <c r="BY198" s="95" t="s">
        <v>2530</v>
      </c>
      <c r="BZ198" s="95" t="s">
        <v>2530</v>
      </c>
      <c r="CA198" s="95">
        <v>3</v>
      </c>
      <c r="CB198" s="98">
        <v>100</v>
      </c>
      <c r="CC198" s="95">
        <v>0</v>
      </c>
      <c r="CD198" s="98">
        <v>0</v>
      </c>
      <c r="CE198" s="95">
        <v>0</v>
      </c>
      <c r="CF198" s="98">
        <v>0</v>
      </c>
      <c r="CG198" s="95">
        <v>0</v>
      </c>
      <c r="CH198" s="98">
        <v>0</v>
      </c>
      <c r="CI198" s="95">
        <v>3</v>
      </c>
      <c r="CJ198" s="116" t="str">
        <f>REPLACE(INDEX(GroupVertices[Group],MATCH("~"&amp;Vertices[[#This Row],[Vertex]],GroupVertices[Vertex],0)),1,1,"")</f>
        <v>6</v>
      </c>
      <c r="CK198" s="95"/>
      <c r="CL198" s="95"/>
      <c r="CM198" s="95"/>
      <c r="CN198" s="95"/>
      <c r="CO198" s="2"/>
    </row>
    <row r="199" spans="1:93" ht="41.45" customHeight="1">
      <c r="A199" s="59" t="s">
        <v>235</v>
      </c>
      <c r="C199" s="125"/>
      <c r="D199" s="60" t="s">
        <v>64</v>
      </c>
      <c r="E199" s="129"/>
      <c r="F199" s="124"/>
      <c r="G199" s="92" t="str">
        <f>HYPERLINK("https://pbs.twimg.com/profile_images/1577051339690950656/afYmBGZ8_normal.jpg")</f>
        <v>https://pbs.twimg.com/profile_images/1577051339690950656/afYmBGZ8_normal.jpg</v>
      </c>
      <c r="H199" s="125"/>
      <c r="I199" s="64" t="str">
        <f>Vertices[[#This Row],[Vertex]]</f>
        <v>zephmiss</v>
      </c>
      <c r="J199" s="126"/>
      <c r="K199" s="126"/>
      <c r="L199" s="130"/>
      <c r="M199" s="127"/>
      <c r="N199" s="131">
        <v>3717.644287109375</v>
      </c>
      <c r="O199" s="131">
        <v>2955.51318359375</v>
      </c>
      <c r="P199" s="132"/>
      <c r="Q199" s="133"/>
      <c r="R199" s="133"/>
      <c r="S199" s="134"/>
      <c r="T199" s="44">
        <v>0</v>
      </c>
      <c r="U199" s="44">
        <v>1</v>
      </c>
      <c r="V199" s="45">
        <v>0</v>
      </c>
      <c r="W199" s="45">
        <v>0.142661</v>
      </c>
      <c r="X199" s="45">
        <v>0.0045</v>
      </c>
      <c r="Y199" s="45">
        <v>0.003365</v>
      </c>
      <c r="Z199" s="45">
        <v>0</v>
      </c>
      <c r="AA199" s="45">
        <v>0</v>
      </c>
      <c r="AB199" s="135">
        <v>199</v>
      </c>
      <c r="AC199"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9" s="67"/>
      <c r="AE199" t="s">
        <v>1564</v>
      </c>
      <c r="AF199" s="74" t="s">
        <v>1411</v>
      </c>
      <c r="AG199">
        <v>252</v>
      </c>
      <c r="AH199">
        <v>297</v>
      </c>
      <c r="AI199">
        <v>4628</v>
      </c>
      <c r="AJ199">
        <v>0</v>
      </c>
      <c r="AK199">
        <v>11751</v>
      </c>
      <c r="AL199">
        <v>29</v>
      </c>
      <c r="AM199" t="b">
        <v>0</v>
      </c>
      <c r="AN199" s="73">
        <v>44194.30142361111</v>
      </c>
      <c r="AP199" t="s">
        <v>2048</v>
      </c>
      <c r="AY199" t="b">
        <v>0</v>
      </c>
      <c r="BB199" t="b">
        <v>0</v>
      </c>
      <c r="BC199" t="b">
        <v>1</v>
      </c>
      <c r="BD199" t="b">
        <v>1</v>
      </c>
      <c r="BE199" t="b">
        <v>0</v>
      </c>
      <c r="BF199" t="b">
        <v>0</v>
      </c>
      <c r="BG199" t="b">
        <v>0</v>
      </c>
      <c r="BH199" t="b">
        <v>0</v>
      </c>
      <c r="BI199" s="76" t="str">
        <f>HYPERLINK("https://pbs.twimg.com/profile_banners/1343817405596745728/1632719554")</f>
        <v>https://pbs.twimg.com/profile_banners/1343817405596745728/1632719554</v>
      </c>
      <c r="BK199" t="s">
        <v>2343</v>
      </c>
      <c r="BL199" t="b">
        <v>0</v>
      </c>
      <c r="BN199" t="s">
        <v>66</v>
      </c>
      <c r="BO199" t="s">
        <v>2345</v>
      </c>
      <c r="BP199" s="76" t="str">
        <f>HYPERLINK("https://twitter.com/zephmiss")</f>
        <v>https://twitter.com/zephmiss</v>
      </c>
      <c r="BQ199" s="44"/>
      <c r="BR199" s="44"/>
      <c r="BS199" s="44"/>
      <c r="BT199" s="44"/>
      <c r="BU199" s="44" t="s">
        <v>682</v>
      </c>
      <c r="BV199" s="44" t="s">
        <v>682</v>
      </c>
      <c r="BW199" s="95" t="s">
        <v>2436</v>
      </c>
      <c r="BX199" s="95" t="s">
        <v>2436</v>
      </c>
      <c r="BY199" s="95" t="s">
        <v>2496</v>
      </c>
      <c r="BZ199" s="95" t="s">
        <v>2496</v>
      </c>
      <c r="CA199" s="95">
        <v>0</v>
      </c>
      <c r="CB199" s="98">
        <v>0</v>
      </c>
      <c r="CC199" s="95">
        <v>0</v>
      </c>
      <c r="CD199" s="98">
        <v>0</v>
      </c>
      <c r="CE199" s="95">
        <v>0</v>
      </c>
      <c r="CF199" s="98">
        <v>0</v>
      </c>
      <c r="CG199" s="95">
        <v>23</v>
      </c>
      <c r="CH199" s="98">
        <v>100</v>
      </c>
      <c r="CI199" s="95">
        <v>23</v>
      </c>
      <c r="CJ199" s="116" t="str">
        <f>REPLACE(INDEX(GroupVertices[Group],MATCH("~"&amp;Vertices[[#This Row],[Vertex]],GroupVertices[Vertex],0)),1,1,"")</f>
        <v>6</v>
      </c>
      <c r="CK199" s="95"/>
      <c r="CL199" s="95"/>
      <c r="CM199" s="95" t="s">
        <v>682</v>
      </c>
      <c r="CN199" s="95" t="s">
        <v>682</v>
      </c>
      <c r="CO199" s="2"/>
    </row>
    <row r="200" spans="1:93" ht="41.45" customHeight="1">
      <c r="A200" s="59" t="s">
        <v>309</v>
      </c>
      <c r="C200" s="60"/>
      <c r="D200" s="60" t="s">
        <v>64</v>
      </c>
      <c r="E200" s="61"/>
      <c r="F200" s="63"/>
      <c r="G200" s="92" t="str">
        <f>HYPERLINK("https://pbs.twimg.com/profile_images/1513181257966157824/sJfpKpZY_normal.jpg")</f>
        <v>https://pbs.twimg.com/profile_images/1513181257966157824/sJfpKpZY_normal.jpg</v>
      </c>
      <c r="H200" s="60"/>
      <c r="I200" s="64" t="str">
        <f>Vertices[[#This Row],[Vertex]]</f>
        <v>rizki_reza24</v>
      </c>
      <c r="J200" s="65"/>
      <c r="K200" s="65"/>
      <c r="L200" s="64"/>
      <c r="M200" s="68"/>
      <c r="N200" s="69">
        <v>3397.264404296875</v>
      </c>
      <c r="O200" s="69">
        <v>675.6088256835938</v>
      </c>
      <c r="P200" s="70"/>
      <c r="Q200" s="71"/>
      <c r="R200" s="71"/>
      <c r="S200" s="78"/>
      <c r="T200" s="44">
        <v>0</v>
      </c>
      <c r="U200" s="44">
        <v>1</v>
      </c>
      <c r="V200" s="45">
        <v>0</v>
      </c>
      <c r="W200" s="45">
        <v>0.142661</v>
      </c>
      <c r="X200" s="45">
        <v>0.0045</v>
      </c>
      <c r="Y200" s="45">
        <v>0.003365</v>
      </c>
      <c r="Z200" s="45">
        <v>0</v>
      </c>
      <c r="AA200" s="45">
        <v>0</v>
      </c>
      <c r="AB200" s="66">
        <v>200</v>
      </c>
      <c r="AC2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0" s="67"/>
      <c r="AE200" t="s">
        <v>1750</v>
      </c>
      <c r="AF200" s="74" t="s">
        <v>1463</v>
      </c>
      <c r="AG200">
        <v>118</v>
      </c>
      <c r="AH200">
        <v>83</v>
      </c>
      <c r="AI200">
        <v>1700</v>
      </c>
      <c r="AJ200">
        <v>0</v>
      </c>
      <c r="AK200">
        <v>6965</v>
      </c>
      <c r="AL200">
        <v>101</v>
      </c>
      <c r="AM200" t="b">
        <v>0</v>
      </c>
      <c r="AN200" s="73">
        <v>43442.07376157407</v>
      </c>
      <c r="AP200" t="s">
        <v>2217</v>
      </c>
      <c r="AY200" t="b">
        <v>0</v>
      </c>
      <c r="BB200" t="b">
        <v>1</v>
      </c>
      <c r="BC200" t="b">
        <v>0</v>
      </c>
      <c r="BD200" t="b">
        <v>1</v>
      </c>
      <c r="BE200" t="b">
        <v>0</v>
      </c>
      <c r="BF200" t="b">
        <v>0</v>
      </c>
      <c r="BG200" t="b">
        <v>0</v>
      </c>
      <c r="BH200" t="b">
        <v>0</v>
      </c>
      <c r="BI200" s="76" t="str">
        <f>HYPERLINK("https://pbs.twimg.com/profile_banners/1071219362768416768/1673288584")</f>
        <v>https://pbs.twimg.com/profile_banners/1071219362768416768/1673288584</v>
      </c>
      <c r="BK200" t="s">
        <v>2343</v>
      </c>
      <c r="BL200" t="b">
        <v>0</v>
      </c>
      <c r="BN200" t="s">
        <v>66</v>
      </c>
      <c r="BO200" t="s">
        <v>2345</v>
      </c>
      <c r="BP200" s="76" t="str">
        <f>HYPERLINK("https://twitter.com/rizki_reza24")</f>
        <v>https://twitter.com/rizki_reza24</v>
      </c>
      <c r="BQ200" s="44"/>
      <c r="BR200" s="44"/>
      <c r="BS200" s="44"/>
      <c r="BT200" s="44"/>
      <c r="BU200" s="44"/>
      <c r="BV200" s="44"/>
      <c r="BW200" s="95" t="s">
        <v>11436</v>
      </c>
      <c r="BX200" s="95" t="s">
        <v>11436</v>
      </c>
      <c r="BY200" s="95" t="s">
        <v>2555</v>
      </c>
      <c r="BZ200" s="95" t="s">
        <v>2555</v>
      </c>
      <c r="CA200" s="95">
        <v>5</v>
      </c>
      <c r="CB200" s="98">
        <v>71.42857142857143</v>
      </c>
      <c r="CC200" s="95">
        <v>0</v>
      </c>
      <c r="CD200" s="98">
        <v>0</v>
      </c>
      <c r="CE200" s="95">
        <v>0</v>
      </c>
      <c r="CF200" s="98">
        <v>0</v>
      </c>
      <c r="CG200" s="95">
        <v>2</v>
      </c>
      <c r="CH200" s="98">
        <v>28.571428571428573</v>
      </c>
      <c r="CI200" s="95">
        <v>7</v>
      </c>
      <c r="CJ200" s="116" t="str">
        <f>REPLACE(INDEX(GroupVertices[Group],MATCH("~"&amp;Vertices[[#This Row],[Vertex]],GroupVertices[Vertex],0)),1,1,"")</f>
        <v>6</v>
      </c>
      <c r="CK200" s="95"/>
      <c r="CL200" s="95"/>
      <c r="CM200" s="95"/>
      <c r="CN200" s="95"/>
      <c r="CO200" s="2"/>
    </row>
    <row r="201" spans="1:93" ht="41.45" customHeight="1">
      <c r="A201" s="59" t="s">
        <v>246</v>
      </c>
      <c r="C201" s="60"/>
      <c r="D201" s="60" t="s">
        <v>64</v>
      </c>
      <c r="E201" s="61"/>
      <c r="F201" s="63"/>
      <c r="G201" s="92" t="str">
        <f>HYPERLINK("https://pbs.twimg.com/profile_images/1335250083495911424/nQPnANJj_normal.jpg")</f>
        <v>https://pbs.twimg.com/profile_images/1335250083495911424/nQPnANJj_normal.jpg</v>
      </c>
      <c r="H201" s="60"/>
      <c r="I201" s="64" t="str">
        <f>Vertices[[#This Row],[Vertex]]</f>
        <v>pakkumi93921831</v>
      </c>
      <c r="J201" s="65"/>
      <c r="K201" s="65"/>
      <c r="L201" s="64"/>
      <c r="M201" s="68"/>
      <c r="N201" s="69">
        <v>3299.1826171875</v>
      </c>
      <c r="O201" s="69">
        <v>3583.665283203125</v>
      </c>
      <c r="P201" s="70"/>
      <c r="Q201" s="71"/>
      <c r="R201" s="71"/>
      <c r="S201" s="78"/>
      <c r="T201" s="44">
        <v>0</v>
      </c>
      <c r="U201" s="44">
        <v>1</v>
      </c>
      <c r="V201" s="45">
        <v>0</v>
      </c>
      <c r="W201" s="45">
        <v>0.142661</v>
      </c>
      <c r="X201" s="45">
        <v>0.0045</v>
      </c>
      <c r="Y201" s="45">
        <v>0.003365</v>
      </c>
      <c r="Z201" s="45">
        <v>0</v>
      </c>
      <c r="AA201" s="45">
        <v>0</v>
      </c>
      <c r="AB201" s="66">
        <v>201</v>
      </c>
      <c r="AC2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1" s="67"/>
      <c r="AE201" t="s">
        <v>1583</v>
      </c>
      <c r="AF201" s="74" t="s">
        <v>1416</v>
      </c>
      <c r="AG201">
        <v>91</v>
      </c>
      <c r="AH201">
        <v>97</v>
      </c>
      <c r="AI201">
        <v>11733</v>
      </c>
      <c r="AJ201">
        <v>0</v>
      </c>
      <c r="AK201">
        <v>20511</v>
      </c>
      <c r="AL201">
        <v>540</v>
      </c>
      <c r="AM201" t="b">
        <v>0</v>
      </c>
      <c r="AN201" s="73">
        <v>43802.61935185185</v>
      </c>
      <c r="AP201" t="s">
        <v>2065</v>
      </c>
      <c r="AW201">
        <v>1.42763405773577E+18</v>
      </c>
      <c r="AY201" t="b">
        <v>0</v>
      </c>
      <c r="BB201" t="b">
        <v>0</v>
      </c>
      <c r="BC201" t="b">
        <v>0</v>
      </c>
      <c r="BD201" t="b">
        <v>1</v>
      </c>
      <c r="BE201" t="b">
        <v>0</v>
      </c>
      <c r="BF201" t="b">
        <v>1</v>
      </c>
      <c r="BG201" t="b">
        <v>0</v>
      </c>
      <c r="BH201" t="b">
        <v>0</v>
      </c>
      <c r="BI201" s="76" t="str">
        <f>HYPERLINK("https://pbs.twimg.com/profile_banners/1201876643914174464/1594633944")</f>
        <v>https://pbs.twimg.com/profile_banners/1201876643914174464/1594633944</v>
      </c>
      <c r="BK201" t="s">
        <v>2343</v>
      </c>
      <c r="BL201" t="b">
        <v>0</v>
      </c>
      <c r="BN201" t="s">
        <v>66</v>
      </c>
      <c r="BO201" t="s">
        <v>2345</v>
      </c>
      <c r="BP201" s="76" t="str">
        <f>HYPERLINK("https://twitter.com/pakkumi93921831")</f>
        <v>https://twitter.com/pakkumi93921831</v>
      </c>
      <c r="BQ201" s="44"/>
      <c r="BR201" s="44"/>
      <c r="BS201" s="44"/>
      <c r="BT201" s="44"/>
      <c r="BU201" s="44" t="s">
        <v>682</v>
      </c>
      <c r="BV201" s="44" t="s">
        <v>682</v>
      </c>
      <c r="BW201" s="95" t="s">
        <v>2439</v>
      </c>
      <c r="BX201" s="95" t="s">
        <v>2439</v>
      </c>
      <c r="BY201" s="95" t="s">
        <v>2506</v>
      </c>
      <c r="BZ201" s="95" t="s">
        <v>2506</v>
      </c>
      <c r="CA201" s="95">
        <v>2</v>
      </c>
      <c r="CB201" s="98">
        <v>66.66666666666667</v>
      </c>
      <c r="CC201" s="95">
        <v>0</v>
      </c>
      <c r="CD201" s="98">
        <v>0</v>
      </c>
      <c r="CE201" s="95">
        <v>0</v>
      </c>
      <c r="CF201" s="98">
        <v>0</v>
      </c>
      <c r="CG201" s="95">
        <v>1</v>
      </c>
      <c r="CH201" s="98">
        <v>33.333333333333336</v>
      </c>
      <c r="CI201" s="95">
        <v>3</v>
      </c>
      <c r="CJ201" s="116" t="str">
        <f>REPLACE(INDEX(GroupVertices[Group],MATCH("~"&amp;Vertices[[#This Row],[Vertex]],GroupVertices[Vertex],0)),1,1,"")</f>
        <v>6</v>
      </c>
      <c r="CK201" s="95"/>
      <c r="CL201" s="95"/>
      <c r="CM201" s="95" t="s">
        <v>682</v>
      </c>
      <c r="CN201" s="95" t="s">
        <v>682</v>
      </c>
      <c r="CO201" s="2"/>
    </row>
    <row r="202" spans="1:93" ht="41.45" customHeight="1">
      <c r="A202" s="59" t="s">
        <v>226</v>
      </c>
      <c r="C202" s="60"/>
      <c r="D202" s="60" t="s">
        <v>64</v>
      </c>
      <c r="E202" s="61"/>
      <c r="F202" s="63"/>
      <c r="G202" s="92" t="str">
        <f>HYPERLINK("https://abs.twimg.com/sticky/default_profile_images/default_profile_normal.png")</f>
        <v>https://abs.twimg.com/sticky/default_profile_images/default_profile_normal.png</v>
      </c>
      <c r="H202" s="60"/>
      <c r="I202" s="64" t="str">
        <f>Vertices[[#This Row],[Vertex]]</f>
        <v>akalseh18332460</v>
      </c>
      <c r="J202" s="65"/>
      <c r="K202" s="65"/>
      <c r="L202" s="64"/>
      <c r="M202" s="68"/>
      <c r="N202" s="69">
        <v>4412.90380859375</v>
      </c>
      <c r="O202" s="69">
        <v>1701.9139404296875</v>
      </c>
      <c r="P202" s="70"/>
      <c r="Q202" s="71"/>
      <c r="R202" s="71"/>
      <c r="S202" s="78"/>
      <c r="T202" s="44">
        <v>0</v>
      </c>
      <c r="U202" s="44">
        <v>7</v>
      </c>
      <c r="V202" s="45">
        <v>1494.931818</v>
      </c>
      <c r="W202" s="45">
        <v>0.141548</v>
      </c>
      <c r="X202" s="45">
        <v>0.011165</v>
      </c>
      <c r="Y202" s="45">
        <v>0.005718</v>
      </c>
      <c r="Z202" s="45">
        <v>0</v>
      </c>
      <c r="AA202" s="45">
        <v>0</v>
      </c>
      <c r="AB202" s="66">
        <v>202</v>
      </c>
      <c r="AC2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2" s="67"/>
      <c r="AE202" t="s">
        <v>1541</v>
      </c>
      <c r="AF202" s="74" t="s">
        <v>1406</v>
      </c>
      <c r="AG202">
        <v>68</v>
      </c>
      <c r="AH202">
        <v>207</v>
      </c>
      <c r="AI202">
        <v>5964</v>
      </c>
      <c r="AJ202">
        <v>0</v>
      </c>
      <c r="AK202">
        <v>5724</v>
      </c>
      <c r="AL202">
        <v>10</v>
      </c>
      <c r="AM202" t="b">
        <v>0</v>
      </c>
      <c r="AN202" s="73">
        <v>44461.96476851852</v>
      </c>
      <c r="AP202" t="s">
        <v>2027</v>
      </c>
      <c r="AY202" t="b">
        <v>0</v>
      </c>
      <c r="BB202" t="b">
        <v>0</v>
      </c>
      <c r="BC202" t="b">
        <v>1</v>
      </c>
      <c r="BD202" t="b">
        <v>1</v>
      </c>
      <c r="BE202" t="b">
        <v>1</v>
      </c>
      <c r="BF202" t="b">
        <v>0</v>
      </c>
      <c r="BG202" t="b">
        <v>0</v>
      </c>
      <c r="BH202" t="b">
        <v>0</v>
      </c>
      <c r="BK202" t="s">
        <v>2343</v>
      </c>
      <c r="BL202" t="b">
        <v>0</v>
      </c>
      <c r="BN202" t="s">
        <v>66</v>
      </c>
      <c r="BO202" t="s">
        <v>2345</v>
      </c>
      <c r="BP202" s="76" t="str">
        <f>HYPERLINK("https://twitter.com/akalseh18332460")</f>
        <v>https://twitter.com/akalseh18332460</v>
      </c>
      <c r="BQ202" s="44"/>
      <c r="BR202" s="44"/>
      <c r="BS202" s="44"/>
      <c r="BT202" s="44"/>
      <c r="BU202" s="44" t="s">
        <v>681</v>
      </c>
      <c r="BV202" s="44" t="s">
        <v>681</v>
      </c>
      <c r="BW202" s="95" t="s">
        <v>11437</v>
      </c>
      <c r="BX202" s="95" t="s">
        <v>11478</v>
      </c>
      <c r="BY202" s="95" t="s">
        <v>3440</v>
      </c>
      <c r="BZ202" s="95" t="s">
        <v>3460</v>
      </c>
      <c r="CA202" s="95">
        <v>18</v>
      </c>
      <c r="CB202" s="98">
        <v>56.25</v>
      </c>
      <c r="CC202" s="95">
        <v>0</v>
      </c>
      <c r="CD202" s="98">
        <v>0</v>
      </c>
      <c r="CE202" s="95">
        <v>0</v>
      </c>
      <c r="CF202" s="98">
        <v>0</v>
      </c>
      <c r="CG202" s="95">
        <v>14</v>
      </c>
      <c r="CH202" s="98">
        <v>43.75</v>
      </c>
      <c r="CI202" s="95">
        <v>32</v>
      </c>
      <c r="CJ202" s="116" t="str">
        <f>REPLACE(INDEX(GroupVertices[Group],MATCH("~"&amp;Vertices[[#This Row],[Vertex]],GroupVertices[Vertex],0)),1,1,"")</f>
        <v>8</v>
      </c>
      <c r="CK202" s="95"/>
      <c r="CL202" s="95"/>
      <c r="CM202" s="95" t="s">
        <v>681</v>
      </c>
      <c r="CN202" s="95" t="s">
        <v>681</v>
      </c>
      <c r="CO202" s="2"/>
    </row>
    <row r="203" spans="1:93" ht="41.45" customHeight="1">
      <c r="A203" s="59" t="s">
        <v>263</v>
      </c>
      <c r="C203" s="60"/>
      <c r="D203" s="60" t="s">
        <v>64</v>
      </c>
      <c r="E203" s="61"/>
      <c r="F203" s="63"/>
      <c r="G203" s="92" t="str">
        <f>HYPERLINK("https://abs.twimg.com/sticky/default_profile_images/default_profile_normal.png")</f>
        <v>https://abs.twimg.com/sticky/default_profile_images/default_profile_normal.png</v>
      </c>
      <c r="H203" s="60"/>
      <c r="I203" s="64" t="str">
        <f>Vertices[[#This Row],[Vertex]]</f>
        <v>selamanyamulyo</v>
      </c>
      <c r="J203" s="65"/>
      <c r="K203" s="65"/>
      <c r="L203" s="64"/>
      <c r="M203" s="68"/>
      <c r="N203" s="69">
        <v>7975.64111328125</v>
      </c>
      <c r="O203" s="69">
        <v>6201.32470703125</v>
      </c>
      <c r="P203" s="70"/>
      <c r="Q203" s="71"/>
      <c r="R203" s="71"/>
      <c r="S203" s="78"/>
      <c r="T203" s="44">
        <v>0</v>
      </c>
      <c r="U203" s="44">
        <v>1</v>
      </c>
      <c r="V203" s="45">
        <v>0</v>
      </c>
      <c r="W203" s="45">
        <v>0.134419</v>
      </c>
      <c r="X203" s="45">
        <v>0.00705</v>
      </c>
      <c r="Y203" s="45">
        <v>0.003393</v>
      </c>
      <c r="Z203" s="45">
        <v>0</v>
      </c>
      <c r="AA203" s="45">
        <v>0</v>
      </c>
      <c r="AB203" s="66">
        <v>203</v>
      </c>
      <c r="AC2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3" s="67"/>
      <c r="AE203" t="s">
        <v>1622</v>
      </c>
      <c r="AF203" s="74" t="s">
        <v>1431</v>
      </c>
      <c r="AG203">
        <v>0</v>
      </c>
      <c r="AH203">
        <v>55</v>
      </c>
      <c r="AI203">
        <v>77</v>
      </c>
      <c r="AJ203">
        <v>0</v>
      </c>
      <c r="AK203">
        <v>223</v>
      </c>
      <c r="AL203">
        <v>1</v>
      </c>
      <c r="AM203" t="b">
        <v>0</v>
      </c>
      <c r="AN203" s="73">
        <v>44766.526550925926</v>
      </c>
      <c r="AP203" t="s">
        <v>2099</v>
      </c>
      <c r="AY203" t="b">
        <v>0</v>
      </c>
      <c r="BB203" t="b">
        <v>0</v>
      </c>
      <c r="BC203" t="b">
        <v>1</v>
      </c>
      <c r="BD203" t="b">
        <v>1</v>
      </c>
      <c r="BE203" t="b">
        <v>1</v>
      </c>
      <c r="BF203" t="b">
        <v>0</v>
      </c>
      <c r="BG203" t="b">
        <v>0</v>
      </c>
      <c r="BH203" t="b">
        <v>0</v>
      </c>
      <c r="BK203" t="s">
        <v>2343</v>
      </c>
      <c r="BL203" t="b">
        <v>0</v>
      </c>
      <c r="BN203" t="s">
        <v>66</v>
      </c>
      <c r="BO203" t="s">
        <v>2345</v>
      </c>
      <c r="BP203" s="76" t="str">
        <f>HYPERLINK("https://twitter.com/selamanyamulyo")</f>
        <v>https://twitter.com/selamanyamulyo</v>
      </c>
      <c r="BQ203" s="44"/>
      <c r="BR203" s="44"/>
      <c r="BS203" s="44"/>
      <c r="BT203" s="44"/>
      <c r="BU203" s="44"/>
      <c r="BV203" s="44"/>
      <c r="BW203" s="95" t="s">
        <v>11438</v>
      </c>
      <c r="BX203" s="95" t="s">
        <v>11438</v>
      </c>
      <c r="BY203" s="95" t="s">
        <v>2518</v>
      </c>
      <c r="BZ203" s="95" t="s">
        <v>2518</v>
      </c>
      <c r="CA203" s="95">
        <v>4</v>
      </c>
      <c r="CB203" s="98">
        <v>25</v>
      </c>
      <c r="CC203" s="95">
        <v>0</v>
      </c>
      <c r="CD203" s="98">
        <v>0</v>
      </c>
      <c r="CE203" s="95">
        <v>0</v>
      </c>
      <c r="CF203" s="98">
        <v>0</v>
      </c>
      <c r="CG203" s="95">
        <v>12</v>
      </c>
      <c r="CH203" s="98">
        <v>75</v>
      </c>
      <c r="CI203" s="95">
        <v>16</v>
      </c>
      <c r="CJ203" s="116" t="str">
        <f>REPLACE(INDEX(GroupVertices[Group],MATCH("~"&amp;Vertices[[#This Row],[Vertex]],GroupVertices[Vertex],0)),1,1,"")</f>
        <v>19</v>
      </c>
      <c r="CK203" s="95"/>
      <c r="CL203" s="95"/>
      <c r="CM203" s="95"/>
      <c r="CN203" s="95"/>
      <c r="CO203" s="2"/>
    </row>
    <row r="204" spans="1:93" ht="41.45" customHeight="1">
      <c r="A204" s="59" t="s">
        <v>290</v>
      </c>
      <c r="C204" s="60"/>
      <c r="D204" s="60" t="s">
        <v>64</v>
      </c>
      <c r="E204" s="61"/>
      <c r="F204" s="63"/>
      <c r="G204" s="92" t="str">
        <f>HYPERLINK("https://pbs.twimg.com/profile_images/1562936385258266625/MwfjhiWX_normal.jpg")</f>
        <v>https://pbs.twimg.com/profile_images/1562936385258266625/MwfjhiWX_normal.jpg</v>
      </c>
      <c r="H204" s="60"/>
      <c r="I204" s="64" t="str">
        <f>Vertices[[#This Row],[Vertex]]</f>
        <v>s_cintanirmala</v>
      </c>
      <c r="J204" s="65"/>
      <c r="K204" s="65"/>
      <c r="L204" s="64"/>
      <c r="M204" s="68"/>
      <c r="N204" s="69">
        <v>783.5623779296875</v>
      </c>
      <c r="O204" s="69">
        <v>5008.1142578125</v>
      </c>
      <c r="P204" s="70"/>
      <c r="Q204" s="71"/>
      <c r="R204" s="71"/>
      <c r="S204" s="78"/>
      <c r="T204" s="44">
        <v>0</v>
      </c>
      <c r="U204" s="44">
        <v>37</v>
      </c>
      <c r="V204" s="45">
        <v>9684</v>
      </c>
      <c r="W204" s="45">
        <v>0.133234</v>
      </c>
      <c r="X204" s="45">
        <v>0.390588</v>
      </c>
      <c r="Y204" s="45">
        <v>0.021663</v>
      </c>
      <c r="Z204" s="45">
        <v>0</v>
      </c>
      <c r="AA204" s="45">
        <v>0</v>
      </c>
      <c r="AB204" s="66">
        <v>204</v>
      </c>
      <c r="AC2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4" s="67"/>
      <c r="AE204" t="s">
        <v>1691</v>
      </c>
      <c r="AF204" s="74" t="s">
        <v>1449</v>
      </c>
      <c r="AG204">
        <v>1955</v>
      </c>
      <c r="AH204">
        <v>1772</v>
      </c>
      <c r="AI204">
        <v>18484</v>
      </c>
      <c r="AJ204">
        <v>0</v>
      </c>
      <c r="AK204">
        <v>16195</v>
      </c>
      <c r="AL204">
        <v>569</v>
      </c>
      <c r="AM204" t="b">
        <v>0</v>
      </c>
      <c r="AN204" s="73">
        <v>44780.48333333333</v>
      </c>
      <c r="AP204" t="s">
        <v>2163</v>
      </c>
      <c r="AW204">
        <v>1.55625746918553E+18</v>
      </c>
      <c r="AY204" t="b">
        <v>0</v>
      </c>
      <c r="BB204" t="b">
        <v>1</v>
      </c>
      <c r="BC204" t="b">
        <v>1</v>
      </c>
      <c r="BD204" t="b">
        <v>1</v>
      </c>
      <c r="BE204" t="b">
        <v>0</v>
      </c>
      <c r="BF204" t="b">
        <v>1</v>
      </c>
      <c r="BG204" t="b">
        <v>0</v>
      </c>
      <c r="BH204" t="b">
        <v>0</v>
      </c>
      <c r="BI204" s="76" t="str">
        <f>HYPERLINK("https://pbs.twimg.com/profile_banners/1556242640320233472/1659874309")</f>
        <v>https://pbs.twimg.com/profile_banners/1556242640320233472/1659874309</v>
      </c>
      <c r="BK204" t="s">
        <v>2343</v>
      </c>
      <c r="BL204" t="b">
        <v>0</v>
      </c>
      <c r="BN204" t="s">
        <v>66</v>
      </c>
      <c r="BO204" t="s">
        <v>2345</v>
      </c>
      <c r="BP204" s="76" t="str">
        <f>HYPERLINK("https://twitter.com/s_cintanirmala")</f>
        <v>https://twitter.com/s_cintanirmala</v>
      </c>
      <c r="BQ204" s="44"/>
      <c r="BR204" s="44"/>
      <c r="BS204" s="44"/>
      <c r="BT204" s="44"/>
      <c r="BU204" s="44" t="s">
        <v>2418</v>
      </c>
      <c r="BV204" s="44" t="s">
        <v>2426</v>
      </c>
      <c r="BW204" s="95" t="s">
        <v>11439</v>
      </c>
      <c r="BX204" s="95" t="s">
        <v>2476</v>
      </c>
      <c r="BY204" s="95" t="s">
        <v>2538</v>
      </c>
      <c r="BZ204" s="95" t="s">
        <v>2585</v>
      </c>
      <c r="CA204" s="95">
        <v>7</v>
      </c>
      <c r="CB204" s="98">
        <v>8.536585365853659</v>
      </c>
      <c r="CC204" s="95">
        <v>1</v>
      </c>
      <c r="CD204" s="98">
        <v>1.2195121951219512</v>
      </c>
      <c r="CE204" s="95">
        <v>0</v>
      </c>
      <c r="CF204" s="98">
        <v>0</v>
      </c>
      <c r="CG204" s="95">
        <v>74</v>
      </c>
      <c r="CH204" s="98">
        <v>90.2439024390244</v>
      </c>
      <c r="CI204" s="95">
        <v>82</v>
      </c>
      <c r="CJ204" s="116" t="str">
        <f>REPLACE(INDEX(GroupVertices[Group],MATCH("~"&amp;Vertices[[#This Row],[Vertex]],GroupVertices[Vertex],0)),1,1,"")</f>
        <v>1</v>
      </c>
      <c r="CK204" s="95"/>
      <c r="CL204" s="95"/>
      <c r="CM204" s="95" t="s">
        <v>2418</v>
      </c>
      <c r="CN204" s="95" t="s">
        <v>2426</v>
      </c>
      <c r="CO204" s="2"/>
    </row>
    <row r="205" spans="1:93" ht="41.45" customHeight="1">
      <c r="A205" s="59" t="s">
        <v>247</v>
      </c>
      <c r="C205" s="60"/>
      <c r="D205" s="60" t="s">
        <v>64</v>
      </c>
      <c r="E205" s="61"/>
      <c r="F205" s="63"/>
      <c r="G205" s="92" t="str">
        <f>HYPERLINK("https://pbs.twimg.com/profile_images/863710851441623042/rD9NF2It_normal.jpg")</f>
        <v>https://pbs.twimg.com/profile_images/863710851441623042/rD9NF2It_normal.jpg</v>
      </c>
      <c r="H205" s="60"/>
      <c r="I205" s="64" t="str">
        <f>Vertices[[#This Row],[Vertex]]</f>
        <v>kurnia_awan85</v>
      </c>
      <c r="J205" s="65"/>
      <c r="K205" s="65"/>
      <c r="L205" s="64"/>
      <c r="M205" s="68"/>
      <c r="N205" s="69">
        <v>3497.166748046875</v>
      </c>
      <c r="O205" s="69">
        <v>6836.8466796875</v>
      </c>
      <c r="P205" s="70"/>
      <c r="Q205" s="71"/>
      <c r="R205" s="71"/>
      <c r="S205" s="78"/>
      <c r="T205" s="44">
        <v>0</v>
      </c>
      <c r="U205" s="44">
        <v>2</v>
      </c>
      <c r="V205" s="45">
        <v>315.462496</v>
      </c>
      <c r="W205" s="45">
        <v>0.123111</v>
      </c>
      <c r="X205" s="45">
        <v>0.001451</v>
      </c>
      <c r="Y205" s="45">
        <v>0.003664</v>
      </c>
      <c r="Z205" s="45">
        <v>0</v>
      </c>
      <c r="AA205" s="45">
        <v>0</v>
      </c>
      <c r="AB205" s="66">
        <v>205</v>
      </c>
      <c r="AC2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5" s="67"/>
      <c r="AE205" t="s">
        <v>1584</v>
      </c>
      <c r="AF205" s="74" t="s">
        <v>1417</v>
      </c>
      <c r="AG205">
        <v>13</v>
      </c>
      <c r="AH205">
        <v>107</v>
      </c>
      <c r="AI205">
        <v>901</v>
      </c>
      <c r="AJ205">
        <v>0</v>
      </c>
      <c r="AK205">
        <v>61</v>
      </c>
      <c r="AL205">
        <v>31</v>
      </c>
      <c r="AM205" t="b">
        <v>0</v>
      </c>
      <c r="AN205" s="73">
        <v>42787.754016203704</v>
      </c>
      <c r="AP205" t="s">
        <v>2066</v>
      </c>
      <c r="AY205" t="b">
        <v>0</v>
      </c>
      <c r="BB205" t="b">
        <v>0</v>
      </c>
      <c r="BC205" t="b">
        <v>1</v>
      </c>
      <c r="BD205" t="b">
        <v>1</v>
      </c>
      <c r="BE205" t="b">
        <v>0</v>
      </c>
      <c r="BF205" t="b">
        <v>0</v>
      </c>
      <c r="BG205" t="b">
        <v>0</v>
      </c>
      <c r="BH205" t="b">
        <v>0</v>
      </c>
      <c r="BK205" t="s">
        <v>2343</v>
      </c>
      <c r="BL205" t="b">
        <v>0</v>
      </c>
      <c r="BN205" t="s">
        <v>66</v>
      </c>
      <c r="BO205" t="s">
        <v>2345</v>
      </c>
      <c r="BP205" s="76" t="str">
        <f>HYPERLINK("https://twitter.com/kurnia_awan85")</f>
        <v>https://twitter.com/kurnia_awan85</v>
      </c>
      <c r="BQ205" s="44"/>
      <c r="BR205" s="44"/>
      <c r="BS205" s="44"/>
      <c r="BT205" s="44"/>
      <c r="BU205" s="44" t="s">
        <v>682</v>
      </c>
      <c r="BV205" s="44" t="s">
        <v>682</v>
      </c>
      <c r="BW205" s="95" t="s">
        <v>2440</v>
      </c>
      <c r="BX205" s="95" t="s">
        <v>2440</v>
      </c>
      <c r="BY205" s="95" t="s">
        <v>2507</v>
      </c>
      <c r="BZ205" s="95" t="s">
        <v>2507</v>
      </c>
      <c r="CA205" s="95">
        <v>2</v>
      </c>
      <c r="CB205" s="98">
        <v>7.407407407407407</v>
      </c>
      <c r="CC205" s="95">
        <v>2</v>
      </c>
      <c r="CD205" s="98">
        <v>7.407407407407407</v>
      </c>
      <c r="CE205" s="95">
        <v>0</v>
      </c>
      <c r="CF205" s="98">
        <v>0</v>
      </c>
      <c r="CG205" s="95">
        <v>23</v>
      </c>
      <c r="CH205" s="98">
        <v>85.18518518518519</v>
      </c>
      <c r="CI205" s="95">
        <v>27</v>
      </c>
      <c r="CJ205" s="116" t="str">
        <f>REPLACE(INDEX(GroupVertices[Group],MATCH("~"&amp;Vertices[[#This Row],[Vertex]],GroupVertices[Vertex],0)),1,1,"")</f>
        <v>4</v>
      </c>
      <c r="CK205" s="95"/>
      <c r="CL205" s="95"/>
      <c r="CM205" s="95" t="s">
        <v>682</v>
      </c>
      <c r="CN205" s="95" t="s">
        <v>682</v>
      </c>
      <c r="CO205" s="2"/>
    </row>
    <row r="206" spans="1:93" ht="41.45" customHeight="1">
      <c r="A206" s="59" t="s">
        <v>238</v>
      </c>
      <c r="C206" s="60"/>
      <c r="D206" s="60" t="s">
        <v>64</v>
      </c>
      <c r="E206" s="61"/>
      <c r="F206" s="63"/>
      <c r="G206" s="92" t="str">
        <f>HYPERLINK("https://pbs.twimg.com/profile_images/1517492179719323648/h3uLtUhZ_normal.jpg")</f>
        <v>https://pbs.twimg.com/profile_images/1517492179719323648/h3uLtUhZ_normal.jpg</v>
      </c>
      <c r="H206" s="60"/>
      <c r="I206" s="64" t="str">
        <f>Vertices[[#This Row],[Vertex]]</f>
        <v>intanwarhani</v>
      </c>
      <c r="J206" s="65"/>
      <c r="K206" s="65"/>
      <c r="L206" s="64"/>
      <c r="M206" s="68"/>
      <c r="N206" s="69">
        <v>4304.17724609375</v>
      </c>
      <c r="O206" s="69">
        <v>8461.8759765625</v>
      </c>
      <c r="P206" s="70"/>
      <c r="Q206" s="71"/>
      <c r="R206" s="71"/>
      <c r="S206" s="78"/>
      <c r="T206" s="44">
        <v>0</v>
      </c>
      <c r="U206" s="44">
        <v>3</v>
      </c>
      <c r="V206" s="45">
        <v>54.607143</v>
      </c>
      <c r="W206" s="45">
        <v>0.123111</v>
      </c>
      <c r="X206" s="45">
        <v>0.003897</v>
      </c>
      <c r="Y206" s="45">
        <v>0.003687</v>
      </c>
      <c r="Z206" s="45">
        <v>0</v>
      </c>
      <c r="AA206" s="45">
        <v>0</v>
      </c>
      <c r="AB206" s="66">
        <v>206</v>
      </c>
      <c r="AC2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6" s="67"/>
      <c r="AE206" t="s">
        <v>1570</v>
      </c>
      <c r="AF206" s="74" t="s">
        <v>1413</v>
      </c>
      <c r="AG206">
        <v>4</v>
      </c>
      <c r="AH206">
        <v>166</v>
      </c>
      <c r="AI206">
        <v>190</v>
      </c>
      <c r="AJ206">
        <v>0</v>
      </c>
      <c r="AK206">
        <v>149</v>
      </c>
      <c r="AL206">
        <v>5</v>
      </c>
      <c r="AM206" t="b">
        <v>0</v>
      </c>
      <c r="AN206" s="73">
        <v>44673.55159722222</v>
      </c>
      <c r="AP206" t="s">
        <v>2054</v>
      </c>
      <c r="AY206" t="b">
        <v>0</v>
      </c>
      <c r="BB206" t="b">
        <v>0</v>
      </c>
      <c r="BC206" t="b">
        <v>1</v>
      </c>
      <c r="BD206" t="b">
        <v>1</v>
      </c>
      <c r="BE206" t="b">
        <v>0</v>
      </c>
      <c r="BF206" t="b">
        <v>0</v>
      </c>
      <c r="BG206" t="b">
        <v>0</v>
      </c>
      <c r="BH206" t="b">
        <v>0</v>
      </c>
      <c r="BK206" t="s">
        <v>2343</v>
      </c>
      <c r="BL206" t="b">
        <v>0</v>
      </c>
      <c r="BN206" t="s">
        <v>66</v>
      </c>
      <c r="BO206" t="s">
        <v>2345</v>
      </c>
      <c r="BP206" s="76" t="str">
        <f>HYPERLINK("https://twitter.com/intanwarhani")</f>
        <v>https://twitter.com/intanwarhani</v>
      </c>
      <c r="BQ206" s="44"/>
      <c r="BR206" s="44"/>
      <c r="BS206" s="44"/>
      <c r="BT206" s="44"/>
      <c r="BU206" s="44"/>
      <c r="BV206" s="44"/>
      <c r="BW206" s="95" t="s">
        <v>11440</v>
      </c>
      <c r="BX206" s="95" t="s">
        <v>11479</v>
      </c>
      <c r="BY206" s="95" t="s">
        <v>2499</v>
      </c>
      <c r="BZ206" s="95" t="s">
        <v>2578</v>
      </c>
      <c r="CA206" s="95">
        <v>10</v>
      </c>
      <c r="CB206" s="98">
        <v>33.333333333333336</v>
      </c>
      <c r="CC206" s="95">
        <v>0</v>
      </c>
      <c r="CD206" s="98">
        <v>0</v>
      </c>
      <c r="CE206" s="95">
        <v>0</v>
      </c>
      <c r="CF206" s="98">
        <v>0</v>
      </c>
      <c r="CG206" s="95">
        <v>20</v>
      </c>
      <c r="CH206" s="98">
        <v>66.66666666666667</v>
      </c>
      <c r="CI206" s="95">
        <v>30</v>
      </c>
      <c r="CJ206" s="116" t="str">
        <f>REPLACE(INDEX(GroupVertices[Group],MATCH("~"&amp;Vertices[[#This Row],[Vertex]],GroupVertices[Vertex],0)),1,1,"")</f>
        <v>5</v>
      </c>
      <c r="CK206" s="95"/>
      <c r="CL206" s="95"/>
      <c r="CM206" s="95"/>
      <c r="CN206" s="95"/>
      <c r="CO206" s="2"/>
    </row>
    <row r="207" spans="1:93" ht="41.45" customHeight="1">
      <c r="A207" s="59" t="s">
        <v>243</v>
      </c>
      <c r="C207" s="60"/>
      <c r="D207" s="60" t="s">
        <v>64</v>
      </c>
      <c r="E207" s="61"/>
      <c r="F207" s="63"/>
      <c r="G207" s="92" t="str">
        <f>HYPERLINK("https://pbs.twimg.com/profile_images/1614982638250659841/IPTjvBjf_normal.jpg")</f>
        <v>https://pbs.twimg.com/profile_images/1614982638250659841/IPTjvBjf_normal.jpg</v>
      </c>
      <c r="H207" s="60"/>
      <c r="I207" s="64" t="str">
        <f>Vertices[[#This Row],[Vertex]]</f>
        <v>saibooali</v>
      </c>
      <c r="J207" s="65"/>
      <c r="K207" s="65"/>
      <c r="L207" s="64"/>
      <c r="M207" s="68"/>
      <c r="N207" s="69">
        <v>3683.400390625</v>
      </c>
      <c r="O207" s="69">
        <v>9248.7109375</v>
      </c>
      <c r="P207" s="70"/>
      <c r="Q207" s="71"/>
      <c r="R207" s="71"/>
      <c r="S207" s="78"/>
      <c r="T207" s="44">
        <v>0</v>
      </c>
      <c r="U207" s="44">
        <v>1</v>
      </c>
      <c r="V207" s="45">
        <v>0</v>
      </c>
      <c r="W207" s="45">
        <v>0.120495</v>
      </c>
      <c r="X207" s="45">
        <v>0.001323</v>
      </c>
      <c r="Y207" s="45">
        <v>0.003388</v>
      </c>
      <c r="Z207" s="45">
        <v>0</v>
      </c>
      <c r="AA207" s="45">
        <v>0</v>
      </c>
      <c r="AB207" s="66">
        <v>207</v>
      </c>
      <c r="AC2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7" s="67"/>
      <c r="AE207" t="s">
        <v>1579</v>
      </c>
      <c r="AF207" s="74" t="s">
        <v>1813</v>
      </c>
      <c r="AG207">
        <v>99</v>
      </c>
      <c r="AH207">
        <v>155</v>
      </c>
      <c r="AI207">
        <v>205</v>
      </c>
      <c r="AJ207">
        <v>0</v>
      </c>
      <c r="AK207">
        <v>698</v>
      </c>
      <c r="AL207">
        <v>18</v>
      </c>
      <c r="AM207" t="b">
        <v>0</v>
      </c>
      <c r="AN207" s="73">
        <v>42125.24490740741</v>
      </c>
      <c r="AY207" t="b">
        <v>0</v>
      </c>
      <c r="BB207" t="b">
        <v>0</v>
      </c>
      <c r="BC207" t="b">
        <v>1</v>
      </c>
      <c r="BD207" t="b">
        <v>1</v>
      </c>
      <c r="BE207" t="b">
        <v>0</v>
      </c>
      <c r="BF207" t="b">
        <v>0</v>
      </c>
      <c r="BG207" t="b">
        <v>0</v>
      </c>
      <c r="BH207" t="b">
        <v>0</v>
      </c>
      <c r="BI207" s="76" t="str">
        <f>HYPERLINK("https://pbs.twimg.com/profile_banners/3181369904/1551319287")</f>
        <v>https://pbs.twimg.com/profile_banners/3181369904/1551319287</v>
      </c>
      <c r="BK207" t="s">
        <v>2343</v>
      </c>
      <c r="BL207" t="b">
        <v>0</v>
      </c>
      <c r="BN207" t="s">
        <v>66</v>
      </c>
      <c r="BO207" t="s">
        <v>2345</v>
      </c>
      <c r="BP207" s="76" t="str">
        <f>HYPERLINK("https://twitter.com/saibooali")</f>
        <v>https://twitter.com/saibooali</v>
      </c>
      <c r="BQ207" s="44"/>
      <c r="BR207" s="44"/>
      <c r="BS207" s="44"/>
      <c r="BT207" s="44"/>
      <c r="BU207" s="44"/>
      <c r="BV207" s="44"/>
      <c r="BW207" s="95" t="s">
        <v>11441</v>
      </c>
      <c r="BX207" s="95" t="s">
        <v>11441</v>
      </c>
      <c r="BY207" s="95" t="s">
        <v>2504</v>
      </c>
      <c r="BZ207" s="95" t="s">
        <v>2504</v>
      </c>
      <c r="CA207" s="95">
        <v>3</v>
      </c>
      <c r="CB207" s="98">
        <v>75</v>
      </c>
      <c r="CC207" s="95">
        <v>0</v>
      </c>
      <c r="CD207" s="98">
        <v>0</v>
      </c>
      <c r="CE207" s="95">
        <v>0</v>
      </c>
      <c r="CF207" s="98">
        <v>0</v>
      </c>
      <c r="CG207" s="95">
        <v>1</v>
      </c>
      <c r="CH207" s="98">
        <v>25</v>
      </c>
      <c r="CI207" s="95">
        <v>4</v>
      </c>
      <c r="CJ207" s="116" t="str">
        <f>REPLACE(INDEX(GroupVertices[Group],MATCH("~"&amp;Vertices[[#This Row],[Vertex]],GroupVertices[Vertex],0)),1,1,"")</f>
        <v>4</v>
      </c>
      <c r="CK207" s="95"/>
      <c r="CL207" s="95"/>
      <c r="CM207" s="95"/>
      <c r="CN207" s="95"/>
      <c r="CO207" s="2"/>
    </row>
    <row r="208" spans="1:93" ht="41.45" customHeight="1">
      <c r="A208" s="59" t="s">
        <v>229</v>
      </c>
      <c r="C208" s="60"/>
      <c r="D208" s="60" t="s">
        <v>64</v>
      </c>
      <c r="E208" s="61"/>
      <c r="F208" s="63"/>
      <c r="G208" s="92" t="str">
        <f>HYPERLINK("https://pbs.twimg.com/profile_images/1579725028299780096/SyIJa330_normal.jpg")</f>
        <v>https://pbs.twimg.com/profile_images/1579725028299780096/SyIJa330_normal.jpg</v>
      </c>
      <c r="H208" s="60"/>
      <c r="I208" s="64" t="str">
        <f>Vertices[[#This Row],[Vertex]]</f>
        <v>kopirasamantap</v>
      </c>
      <c r="J208" s="65"/>
      <c r="K208" s="65"/>
      <c r="L208" s="64"/>
      <c r="M208" s="68"/>
      <c r="N208" s="69">
        <v>3470.96142578125</v>
      </c>
      <c r="O208" s="69">
        <v>9323.3916015625</v>
      </c>
      <c r="P208" s="70"/>
      <c r="Q208" s="71"/>
      <c r="R208" s="71"/>
      <c r="S208" s="78"/>
      <c r="T208" s="44">
        <v>0</v>
      </c>
      <c r="U208" s="44">
        <v>1</v>
      </c>
      <c r="V208" s="45">
        <v>0</v>
      </c>
      <c r="W208" s="45">
        <v>0.120495</v>
      </c>
      <c r="X208" s="45">
        <v>0.001323</v>
      </c>
      <c r="Y208" s="45">
        <v>0.003388</v>
      </c>
      <c r="Z208" s="45">
        <v>0</v>
      </c>
      <c r="AA208" s="45">
        <v>0</v>
      </c>
      <c r="AB208" s="66">
        <v>208</v>
      </c>
      <c r="AC2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8" s="67"/>
      <c r="AE208" t="s">
        <v>1550</v>
      </c>
      <c r="AF208" s="74" t="s">
        <v>1805</v>
      </c>
      <c r="AG208">
        <v>58</v>
      </c>
      <c r="AH208">
        <v>277</v>
      </c>
      <c r="AI208">
        <v>374</v>
      </c>
      <c r="AJ208">
        <v>0</v>
      </c>
      <c r="AK208">
        <v>2808</v>
      </c>
      <c r="AL208">
        <v>9</v>
      </c>
      <c r="AM208" t="b">
        <v>0</v>
      </c>
      <c r="AN208" s="73">
        <v>41202.465462962966</v>
      </c>
      <c r="AO208" t="s">
        <v>1945</v>
      </c>
      <c r="AY208" t="b">
        <v>0</v>
      </c>
      <c r="BB208" t="b">
        <v>0</v>
      </c>
      <c r="BC208" t="b">
        <v>1</v>
      </c>
      <c r="BD208" t="b">
        <v>0</v>
      </c>
      <c r="BE208" t="b">
        <v>0</v>
      </c>
      <c r="BF208" t="b">
        <v>0</v>
      </c>
      <c r="BG208" t="b">
        <v>0</v>
      </c>
      <c r="BH208" t="b">
        <v>0</v>
      </c>
      <c r="BI208" s="76" t="str">
        <f>HYPERLINK("https://pbs.twimg.com/profile_banners/893021132/1660695920")</f>
        <v>https://pbs.twimg.com/profile_banners/893021132/1660695920</v>
      </c>
      <c r="BK208" t="s">
        <v>2343</v>
      </c>
      <c r="BL208" t="b">
        <v>0</v>
      </c>
      <c r="BN208" t="s">
        <v>66</v>
      </c>
      <c r="BO208" t="s">
        <v>2345</v>
      </c>
      <c r="BP208" s="76" t="str">
        <f>HYPERLINK("https://twitter.com/kopirasamantap")</f>
        <v>https://twitter.com/kopirasamantap</v>
      </c>
      <c r="BQ208" s="44"/>
      <c r="BR208" s="44"/>
      <c r="BS208" s="44"/>
      <c r="BT208" s="44"/>
      <c r="BU208" s="44" t="s">
        <v>682</v>
      </c>
      <c r="BV208" s="44" t="s">
        <v>682</v>
      </c>
      <c r="BW208" s="95" t="s">
        <v>2375</v>
      </c>
      <c r="BX208" s="95" t="s">
        <v>2375</v>
      </c>
      <c r="BY208" s="95" t="s">
        <v>1384</v>
      </c>
      <c r="BZ208" s="95" t="s">
        <v>1384</v>
      </c>
      <c r="CA208" s="95">
        <v>0</v>
      </c>
      <c r="CB208" s="98">
        <v>0</v>
      </c>
      <c r="CC208" s="95">
        <v>0</v>
      </c>
      <c r="CD208" s="98">
        <v>0</v>
      </c>
      <c r="CE208" s="95">
        <v>0</v>
      </c>
      <c r="CF208" s="98">
        <v>0</v>
      </c>
      <c r="CG208" s="95">
        <v>1</v>
      </c>
      <c r="CH208" s="98">
        <v>100</v>
      </c>
      <c r="CI208" s="95">
        <v>1</v>
      </c>
      <c r="CJ208" s="116" t="str">
        <f>REPLACE(INDEX(GroupVertices[Group],MATCH("~"&amp;Vertices[[#This Row],[Vertex]],GroupVertices[Vertex],0)),1,1,"")</f>
        <v>4</v>
      </c>
      <c r="CK208" s="95"/>
      <c r="CL208" s="95"/>
      <c r="CM208" s="95" t="s">
        <v>682</v>
      </c>
      <c r="CN208" s="95" t="s">
        <v>682</v>
      </c>
      <c r="CO208" s="2"/>
    </row>
    <row r="209" spans="1:93" ht="41.45" customHeight="1">
      <c r="A209" s="59" t="s">
        <v>283</v>
      </c>
      <c r="C209" s="60"/>
      <c r="D209" s="60" t="s">
        <v>64</v>
      </c>
      <c r="E209" s="61"/>
      <c r="F209" s="63"/>
      <c r="G209" s="92" t="str">
        <f>HYPERLINK("https://pbs.twimg.com/profile_images/1592850418349899776/6h41e7zV_normal.jpg")</f>
        <v>https://pbs.twimg.com/profile_images/1592850418349899776/6h41e7zV_normal.jpg</v>
      </c>
      <c r="H209" s="60"/>
      <c r="I209" s="64" t="str">
        <f>Vertices[[#This Row],[Vertex]]</f>
        <v>slamet_24wiro</v>
      </c>
      <c r="J209" s="65"/>
      <c r="K209" s="65"/>
      <c r="L209" s="64"/>
      <c r="M209" s="68"/>
      <c r="N209" s="69">
        <v>3800.475830078125</v>
      </c>
      <c r="O209" s="69">
        <v>8374.626953125</v>
      </c>
      <c r="P209" s="70"/>
      <c r="Q209" s="71"/>
      <c r="R209" s="71"/>
      <c r="S209" s="78"/>
      <c r="T209" s="44">
        <v>0</v>
      </c>
      <c r="U209" s="44">
        <v>1</v>
      </c>
      <c r="V209" s="45">
        <v>0</v>
      </c>
      <c r="W209" s="45">
        <v>0.120495</v>
      </c>
      <c r="X209" s="45">
        <v>0.001323</v>
      </c>
      <c r="Y209" s="45">
        <v>0.003388</v>
      </c>
      <c r="Z209" s="45">
        <v>0</v>
      </c>
      <c r="AA209" s="45">
        <v>0</v>
      </c>
      <c r="AB209" s="66">
        <v>209</v>
      </c>
      <c r="AC2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9" s="67"/>
      <c r="AE209" t="s">
        <v>1667</v>
      </c>
      <c r="AF209" s="74" t="s">
        <v>1846</v>
      </c>
      <c r="AG209">
        <v>37</v>
      </c>
      <c r="AH209">
        <v>173</v>
      </c>
      <c r="AI209">
        <v>3251</v>
      </c>
      <c r="AJ209">
        <v>0</v>
      </c>
      <c r="AK209">
        <v>4970</v>
      </c>
      <c r="AL209">
        <v>268</v>
      </c>
      <c r="AM209" t="b">
        <v>0</v>
      </c>
      <c r="AN209" s="73">
        <v>41404.35287037037</v>
      </c>
      <c r="AO209" t="s">
        <v>1972</v>
      </c>
      <c r="AP209" t="s">
        <v>2138</v>
      </c>
      <c r="AY209" t="b">
        <v>0</v>
      </c>
      <c r="BB209" t="b">
        <v>0</v>
      </c>
      <c r="BC209" t="b">
        <v>0</v>
      </c>
      <c r="BD209" t="b">
        <v>1</v>
      </c>
      <c r="BE209" t="b">
        <v>0</v>
      </c>
      <c r="BF209" t="b">
        <v>0</v>
      </c>
      <c r="BG209" t="b">
        <v>0</v>
      </c>
      <c r="BH209" t="b">
        <v>0</v>
      </c>
      <c r="BI209" s="76" t="str">
        <f>HYPERLINK("https://pbs.twimg.com/profile_banners/1417516794/1689095311")</f>
        <v>https://pbs.twimg.com/profile_banners/1417516794/1689095311</v>
      </c>
      <c r="BK209" t="s">
        <v>2343</v>
      </c>
      <c r="BL209" t="b">
        <v>0</v>
      </c>
      <c r="BN209" t="s">
        <v>66</v>
      </c>
      <c r="BO209" t="s">
        <v>2345</v>
      </c>
      <c r="BP209" s="76" t="str">
        <f>HYPERLINK("https://twitter.com/slamet_24wiro")</f>
        <v>https://twitter.com/slamet_24wiro</v>
      </c>
      <c r="BQ209" s="44"/>
      <c r="BR209" s="44"/>
      <c r="BS209" s="44"/>
      <c r="BT209" s="44"/>
      <c r="BU209" s="44"/>
      <c r="BV209" s="44"/>
      <c r="BW209" s="95" t="s">
        <v>11441</v>
      </c>
      <c r="BX209" s="95" t="s">
        <v>11441</v>
      </c>
      <c r="BY209" s="95" t="s">
        <v>2504</v>
      </c>
      <c r="BZ209" s="95" t="s">
        <v>2504</v>
      </c>
      <c r="CA209" s="95">
        <v>3</v>
      </c>
      <c r="CB209" s="98">
        <v>75</v>
      </c>
      <c r="CC209" s="95">
        <v>0</v>
      </c>
      <c r="CD209" s="98">
        <v>0</v>
      </c>
      <c r="CE209" s="95">
        <v>0</v>
      </c>
      <c r="CF209" s="98">
        <v>0</v>
      </c>
      <c r="CG209" s="95">
        <v>1</v>
      </c>
      <c r="CH209" s="98">
        <v>25</v>
      </c>
      <c r="CI209" s="95">
        <v>4</v>
      </c>
      <c r="CJ209" s="116" t="str">
        <f>REPLACE(INDEX(GroupVertices[Group],MATCH("~"&amp;Vertices[[#This Row],[Vertex]],GroupVertices[Vertex],0)),1,1,"")</f>
        <v>4</v>
      </c>
      <c r="CK209" s="95"/>
      <c r="CL209" s="95"/>
      <c r="CM209" s="95"/>
      <c r="CN209" s="95"/>
      <c r="CO209" s="2"/>
    </row>
    <row r="210" spans="1:93" ht="41.45" customHeight="1">
      <c r="A210" s="59" t="s">
        <v>273</v>
      </c>
      <c r="C210" s="60"/>
      <c r="D210" s="60" t="s">
        <v>64</v>
      </c>
      <c r="E210" s="61"/>
      <c r="F210" s="63"/>
      <c r="G210" s="92" t="str">
        <f>HYPERLINK("https://pbs.twimg.com/profile_images/1542315705978470400/E4yZS8vy_normal.jpg")</f>
        <v>https://pbs.twimg.com/profile_images/1542315705978470400/E4yZS8vy_normal.jpg</v>
      </c>
      <c r="H210" s="60"/>
      <c r="I210" s="64" t="str">
        <f>Vertices[[#This Row],[Vertex]]</f>
        <v>ellhafifie</v>
      </c>
      <c r="J210" s="65"/>
      <c r="K210" s="65"/>
      <c r="L210" s="64"/>
      <c r="M210" s="68"/>
      <c r="N210" s="69">
        <v>3273.51904296875</v>
      </c>
      <c r="O210" s="69">
        <v>5502.11767578125</v>
      </c>
      <c r="P210" s="70"/>
      <c r="Q210" s="71"/>
      <c r="R210" s="71"/>
      <c r="S210" s="78"/>
      <c r="T210" s="44">
        <v>0</v>
      </c>
      <c r="U210" s="44">
        <v>7</v>
      </c>
      <c r="V210" s="45">
        <v>1408.311638</v>
      </c>
      <c r="W210" s="45">
        <v>0.120176</v>
      </c>
      <c r="X210" s="45">
        <v>0.003169</v>
      </c>
      <c r="Y210" s="45">
        <v>0.006048</v>
      </c>
      <c r="Z210" s="45">
        <v>0</v>
      </c>
      <c r="AA210" s="45">
        <v>0</v>
      </c>
      <c r="AB210" s="66">
        <v>210</v>
      </c>
      <c r="AC2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0" s="67"/>
      <c r="AE210" t="s">
        <v>1642</v>
      </c>
      <c r="AF210" s="74" t="s">
        <v>1437</v>
      </c>
      <c r="AG210">
        <v>2</v>
      </c>
      <c r="AH210">
        <v>7</v>
      </c>
      <c r="AI210">
        <v>30</v>
      </c>
      <c r="AJ210">
        <v>0</v>
      </c>
      <c r="AK210">
        <v>25</v>
      </c>
      <c r="AL210">
        <v>10</v>
      </c>
      <c r="AM210" t="b">
        <v>0</v>
      </c>
      <c r="AN210" s="73">
        <v>44738.66670138889</v>
      </c>
      <c r="AP210" t="s">
        <v>2115</v>
      </c>
      <c r="AY210" t="b">
        <v>0</v>
      </c>
      <c r="BB210" t="b">
        <v>0</v>
      </c>
      <c r="BC210" t="b">
        <v>1</v>
      </c>
      <c r="BD210" t="b">
        <v>1</v>
      </c>
      <c r="BE210" t="b">
        <v>0</v>
      </c>
      <c r="BF210" t="b">
        <v>0</v>
      </c>
      <c r="BG210" t="b">
        <v>0</v>
      </c>
      <c r="BH210" t="b">
        <v>0</v>
      </c>
      <c r="BK210" t="s">
        <v>2343</v>
      </c>
      <c r="BL210" t="b">
        <v>0</v>
      </c>
      <c r="BN210" t="s">
        <v>66</v>
      </c>
      <c r="BO210" t="s">
        <v>2345</v>
      </c>
      <c r="BP210" s="76" t="str">
        <f>HYPERLINK("https://twitter.com/ellhafifie")</f>
        <v>https://twitter.com/ellhafifie</v>
      </c>
      <c r="BQ210" s="44"/>
      <c r="BR210" s="44"/>
      <c r="BS210" s="44"/>
      <c r="BT210" s="44"/>
      <c r="BU210" s="44"/>
      <c r="BV210" s="44"/>
      <c r="BW210" s="95" t="s">
        <v>2445</v>
      </c>
      <c r="BX210" s="95" t="s">
        <v>2445</v>
      </c>
      <c r="BY210" s="95" t="s">
        <v>2525</v>
      </c>
      <c r="BZ210" s="95" t="s">
        <v>2525</v>
      </c>
      <c r="CA210" s="95">
        <v>5</v>
      </c>
      <c r="CB210" s="98">
        <v>14.285714285714286</v>
      </c>
      <c r="CC210" s="95">
        <v>0</v>
      </c>
      <c r="CD210" s="98">
        <v>0</v>
      </c>
      <c r="CE210" s="95">
        <v>0</v>
      </c>
      <c r="CF210" s="98">
        <v>0</v>
      </c>
      <c r="CG210" s="95">
        <v>30</v>
      </c>
      <c r="CH210" s="98">
        <v>85.71428571428571</v>
      </c>
      <c r="CI210" s="95">
        <v>35</v>
      </c>
      <c r="CJ210" s="116" t="str">
        <f>REPLACE(INDEX(GroupVertices[Group],MATCH("~"&amp;Vertices[[#This Row],[Vertex]],GroupVertices[Vertex],0)),1,1,"")</f>
        <v>4</v>
      </c>
      <c r="CK210" s="95"/>
      <c r="CL210" s="95"/>
      <c r="CM210" s="95"/>
      <c r="CN210" s="95"/>
      <c r="CO210" s="2"/>
    </row>
    <row r="211" spans="1:93" ht="41.45" customHeight="1">
      <c r="A211" s="59" t="s">
        <v>230</v>
      </c>
      <c r="C211" s="60"/>
      <c r="D211" s="60" t="s">
        <v>64</v>
      </c>
      <c r="E211" s="61"/>
      <c r="F211" s="63"/>
      <c r="G211" s="92" t="str">
        <f>HYPERLINK("https://pbs.twimg.com/profile_images/1535821403328741376/-JZH9ind_normal.png")</f>
        <v>https://pbs.twimg.com/profile_images/1535821403328741376/-JZH9ind_normal.png</v>
      </c>
      <c r="H211" s="60"/>
      <c r="I211" s="64" t="str">
        <f>Vertices[[#This Row],[Vertex]]</f>
        <v>ahmadga18785105</v>
      </c>
      <c r="J211" s="65"/>
      <c r="K211" s="65"/>
      <c r="L211" s="64"/>
      <c r="M211" s="68"/>
      <c r="N211" s="69">
        <v>6017.10888671875</v>
      </c>
      <c r="O211" s="69">
        <v>8131.8779296875</v>
      </c>
      <c r="P211" s="70"/>
      <c r="Q211" s="71"/>
      <c r="R211" s="71"/>
      <c r="S211" s="78"/>
      <c r="T211" s="44">
        <v>0</v>
      </c>
      <c r="U211" s="44">
        <v>5</v>
      </c>
      <c r="V211" s="45">
        <v>1204.666667</v>
      </c>
      <c r="W211" s="45">
        <v>0.120176</v>
      </c>
      <c r="X211" s="45">
        <v>0.002561</v>
      </c>
      <c r="Y211" s="45">
        <v>0.004833</v>
      </c>
      <c r="Z211" s="45">
        <v>0</v>
      </c>
      <c r="AA211" s="45">
        <v>0</v>
      </c>
      <c r="AB211" s="66">
        <v>211</v>
      </c>
      <c r="AC2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1" s="67"/>
      <c r="AE211" t="s">
        <v>1552</v>
      </c>
      <c r="AF211" s="74" t="s">
        <v>1407</v>
      </c>
      <c r="AG211">
        <v>2</v>
      </c>
      <c r="AH211">
        <v>60</v>
      </c>
      <c r="AI211">
        <v>770</v>
      </c>
      <c r="AJ211">
        <v>0</v>
      </c>
      <c r="AK211">
        <v>34</v>
      </c>
      <c r="AL211">
        <v>108</v>
      </c>
      <c r="AM211" t="b">
        <v>0</v>
      </c>
      <c r="AN211" s="73">
        <v>44724.13114583334</v>
      </c>
      <c r="AP211" t="s">
        <v>2037</v>
      </c>
      <c r="AY211" t="b">
        <v>0</v>
      </c>
      <c r="BB211" t="b">
        <v>0</v>
      </c>
      <c r="BC211" t="b">
        <v>1</v>
      </c>
      <c r="BD211" t="b">
        <v>1</v>
      </c>
      <c r="BE211" t="b">
        <v>0</v>
      </c>
      <c r="BF211" t="b">
        <v>0</v>
      </c>
      <c r="BG211" t="b">
        <v>0</v>
      </c>
      <c r="BH211" t="b">
        <v>0</v>
      </c>
      <c r="BK211" t="s">
        <v>2343</v>
      </c>
      <c r="BL211" t="b">
        <v>0</v>
      </c>
      <c r="BN211" t="s">
        <v>66</v>
      </c>
      <c r="BO211" t="s">
        <v>2345</v>
      </c>
      <c r="BP211" s="76" t="str">
        <f>HYPERLINK("https://twitter.com/ahmadga18785105")</f>
        <v>https://twitter.com/ahmadga18785105</v>
      </c>
      <c r="BQ211" s="44"/>
      <c r="BR211" s="44"/>
      <c r="BS211" s="44"/>
      <c r="BT211" s="44"/>
      <c r="BU211" s="44"/>
      <c r="BV211" s="44"/>
      <c r="BW211" s="95" t="s">
        <v>11442</v>
      </c>
      <c r="BX211" s="95" t="s">
        <v>2474</v>
      </c>
      <c r="BY211" s="95" t="s">
        <v>2488</v>
      </c>
      <c r="BZ211" s="95" t="s">
        <v>2576</v>
      </c>
      <c r="CA211" s="95">
        <v>30</v>
      </c>
      <c r="CB211" s="98">
        <v>27.027027027027028</v>
      </c>
      <c r="CC211" s="95">
        <v>13</v>
      </c>
      <c r="CD211" s="98">
        <v>11.711711711711711</v>
      </c>
      <c r="CE211" s="95">
        <v>0</v>
      </c>
      <c r="CF211" s="98">
        <v>0</v>
      </c>
      <c r="CG211" s="95">
        <v>68</v>
      </c>
      <c r="CH211" s="98">
        <v>61.26126126126126</v>
      </c>
      <c r="CI211" s="95">
        <v>111</v>
      </c>
      <c r="CJ211" s="116" t="str">
        <f>REPLACE(INDEX(GroupVertices[Group],MATCH("~"&amp;Vertices[[#This Row],[Vertex]],GroupVertices[Vertex],0)),1,1,"")</f>
        <v>12</v>
      </c>
      <c r="CK211" s="95"/>
      <c r="CL211" s="95"/>
      <c r="CM211" s="95"/>
      <c r="CN211" s="95"/>
      <c r="CO211" s="2"/>
    </row>
    <row r="212" spans="1:93" ht="41.45" customHeight="1">
      <c r="A212" s="59" t="s">
        <v>295</v>
      </c>
      <c r="C212" s="60"/>
      <c r="D212" s="60" t="s">
        <v>64</v>
      </c>
      <c r="E212" s="61"/>
      <c r="F212" s="63"/>
      <c r="G212" s="92" t="str">
        <f>HYPERLINK("https://pbs.twimg.com/profile_images/1529768170692628481/tLhXznq8_normal.jpg")</f>
        <v>https://pbs.twimg.com/profile_images/1529768170692628481/tLhXznq8_normal.jpg</v>
      </c>
      <c r="H212" s="60"/>
      <c r="I212" s="64" t="str">
        <f>Vertices[[#This Row],[Vertex]]</f>
        <v>awakblangdalam</v>
      </c>
      <c r="J212" s="65"/>
      <c r="K212" s="65"/>
      <c r="L212" s="64"/>
      <c r="M212" s="68"/>
      <c r="N212" s="69">
        <v>5831.7431640625</v>
      </c>
      <c r="O212" s="69">
        <v>5514.5234375</v>
      </c>
      <c r="P212" s="70"/>
      <c r="Q212" s="71"/>
      <c r="R212" s="71"/>
      <c r="S212" s="78"/>
      <c r="T212" s="44">
        <v>0</v>
      </c>
      <c r="U212" s="44">
        <v>4</v>
      </c>
      <c r="V212" s="45">
        <v>906</v>
      </c>
      <c r="W212" s="45">
        <v>0.119385</v>
      </c>
      <c r="X212" s="45">
        <v>0.001238</v>
      </c>
      <c r="Y212" s="45">
        <v>0.004939</v>
      </c>
      <c r="Z212" s="45">
        <v>0</v>
      </c>
      <c r="AA212" s="45">
        <v>0</v>
      </c>
      <c r="AB212" s="66">
        <v>212</v>
      </c>
      <c r="AC2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2" s="67"/>
      <c r="AE212" t="s">
        <v>1732</v>
      </c>
      <c r="AF212" s="74" t="s">
        <v>1452</v>
      </c>
      <c r="AG212">
        <v>1471</v>
      </c>
      <c r="AH212">
        <v>1434</v>
      </c>
      <c r="AI212">
        <v>26747</v>
      </c>
      <c r="AJ212">
        <v>0</v>
      </c>
      <c r="AK212">
        <v>5852</v>
      </c>
      <c r="AL212">
        <v>11</v>
      </c>
      <c r="AM212" t="b">
        <v>0</v>
      </c>
      <c r="AN212" s="73">
        <v>44707.2096875</v>
      </c>
      <c r="AO212" t="s">
        <v>1944</v>
      </c>
      <c r="AP212" t="s">
        <v>2198</v>
      </c>
      <c r="AY212" t="b">
        <v>0</v>
      </c>
      <c r="BB212" t="b">
        <v>1</v>
      </c>
      <c r="BC212" t="b">
        <v>0</v>
      </c>
      <c r="BD212" t="b">
        <v>1</v>
      </c>
      <c r="BE212" t="b">
        <v>0</v>
      </c>
      <c r="BF212" t="b">
        <v>1</v>
      </c>
      <c r="BG212" t="b">
        <v>0</v>
      </c>
      <c r="BH212" t="b">
        <v>0</v>
      </c>
      <c r="BK212" t="s">
        <v>2343</v>
      </c>
      <c r="BL212" t="b">
        <v>0</v>
      </c>
      <c r="BN212" t="s">
        <v>66</v>
      </c>
      <c r="BO212" t="s">
        <v>2345</v>
      </c>
      <c r="BP212" s="76" t="str">
        <f>HYPERLINK("https://twitter.com/awakblangdalam")</f>
        <v>https://twitter.com/awakblangdalam</v>
      </c>
      <c r="BQ212" s="44"/>
      <c r="BR212" s="44"/>
      <c r="BS212" s="44"/>
      <c r="BT212" s="44"/>
      <c r="BU212" s="44" t="s">
        <v>682</v>
      </c>
      <c r="BV212" s="44" t="s">
        <v>682</v>
      </c>
      <c r="BW212" s="95" t="s">
        <v>11443</v>
      </c>
      <c r="BX212" s="95" t="s">
        <v>11480</v>
      </c>
      <c r="BY212" s="95" t="s">
        <v>2542</v>
      </c>
      <c r="BZ212" s="95" t="s">
        <v>2542</v>
      </c>
      <c r="CA212" s="95">
        <v>2</v>
      </c>
      <c r="CB212" s="98">
        <v>14.285714285714286</v>
      </c>
      <c r="CC212" s="95">
        <v>0</v>
      </c>
      <c r="CD212" s="98">
        <v>0</v>
      </c>
      <c r="CE212" s="95">
        <v>0</v>
      </c>
      <c r="CF212" s="98">
        <v>0</v>
      </c>
      <c r="CG212" s="95">
        <v>12</v>
      </c>
      <c r="CH212" s="98">
        <v>85.71428571428571</v>
      </c>
      <c r="CI212" s="95">
        <v>14</v>
      </c>
      <c r="CJ212" s="116" t="str">
        <f>REPLACE(INDEX(GroupVertices[Group],MATCH("~"&amp;Vertices[[#This Row],[Vertex]],GroupVertices[Vertex],0)),1,1,"")</f>
        <v>11</v>
      </c>
      <c r="CK212" s="95"/>
      <c r="CL212" s="95"/>
      <c r="CM212" s="95" t="s">
        <v>682</v>
      </c>
      <c r="CN212" s="95" t="s">
        <v>682</v>
      </c>
      <c r="CO212" s="2"/>
    </row>
    <row r="213" spans="1:93" ht="41.45" customHeight="1">
      <c r="A213" s="59" t="s">
        <v>294</v>
      </c>
      <c r="C213" s="60"/>
      <c r="D213" s="60" t="s">
        <v>64</v>
      </c>
      <c r="E213" s="61"/>
      <c r="F213" s="63"/>
      <c r="G213" s="92" t="str">
        <f>HYPERLINK("https://pbs.twimg.com/profile_images/1544080357473099777/d7EycaIp_normal.jpg")</f>
        <v>https://pbs.twimg.com/profile_images/1544080357473099777/d7EycaIp_normal.jpg</v>
      </c>
      <c r="H213" s="60"/>
      <c r="I213" s="64" t="str">
        <f>Vertices[[#This Row],[Vertex]]</f>
        <v>rizalmedian</v>
      </c>
      <c r="J213" s="65"/>
      <c r="K213" s="65"/>
      <c r="L213" s="64"/>
      <c r="M213" s="68"/>
      <c r="N213" s="69">
        <v>6498.2763671875</v>
      </c>
      <c r="O213" s="69">
        <v>8184.45458984375</v>
      </c>
      <c r="P213" s="70"/>
      <c r="Q213" s="71"/>
      <c r="R213" s="71"/>
      <c r="S213" s="78"/>
      <c r="T213" s="44">
        <v>0</v>
      </c>
      <c r="U213" s="44">
        <v>1</v>
      </c>
      <c r="V213" s="45">
        <v>0</v>
      </c>
      <c r="W213" s="45">
        <v>0.118605</v>
      </c>
      <c r="X213" s="45">
        <v>0.001283</v>
      </c>
      <c r="Y213" s="45">
        <v>0.003414</v>
      </c>
      <c r="Z213" s="45">
        <v>0</v>
      </c>
      <c r="AA213" s="45">
        <v>0</v>
      </c>
      <c r="AB213" s="66">
        <v>213</v>
      </c>
      <c r="AC2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3" s="67"/>
      <c r="AE213" t="s">
        <v>1731</v>
      </c>
      <c r="AF213" s="74" t="s">
        <v>1451</v>
      </c>
      <c r="AG213">
        <v>21</v>
      </c>
      <c r="AH213">
        <v>110</v>
      </c>
      <c r="AI213">
        <v>969</v>
      </c>
      <c r="AJ213">
        <v>0</v>
      </c>
      <c r="AK213">
        <v>1472</v>
      </c>
      <c r="AL213">
        <v>23</v>
      </c>
      <c r="AM213" t="b">
        <v>0</v>
      </c>
      <c r="AN213" s="73">
        <v>44642.813113425924</v>
      </c>
      <c r="AO213" t="s">
        <v>1996</v>
      </c>
      <c r="AP213" t="s">
        <v>2197</v>
      </c>
      <c r="AY213" t="b">
        <v>0</v>
      </c>
      <c r="BB213" t="b">
        <v>1</v>
      </c>
      <c r="BC213" t="b">
        <v>1</v>
      </c>
      <c r="BD213" t="b">
        <v>1</v>
      </c>
      <c r="BE213" t="b">
        <v>0</v>
      </c>
      <c r="BF213" t="b">
        <v>0</v>
      </c>
      <c r="BG213" t="b">
        <v>0</v>
      </c>
      <c r="BH213" t="b">
        <v>0</v>
      </c>
      <c r="BI213" s="76" t="str">
        <f>HYPERLINK("https://pbs.twimg.com/profile_banners/1506352668947918850/1653116037")</f>
        <v>https://pbs.twimg.com/profile_banners/1506352668947918850/1653116037</v>
      </c>
      <c r="BK213" t="s">
        <v>2343</v>
      </c>
      <c r="BL213" t="b">
        <v>0</v>
      </c>
      <c r="BN213" t="s">
        <v>66</v>
      </c>
      <c r="BO213" t="s">
        <v>2345</v>
      </c>
      <c r="BP213" s="76" t="str">
        <f>HYPERLINK("https://twitter.com/rizalmedian")</f>
        <v>https://twitter.com/rizalmedian</v>
      </c>
      <c r="BQ213" s="44"/>
      <c r="BR213" s="44"/>
      <c r="BS213" s="44"/>
      <c r="BT213" s="44"/>
      <c r="BU213" s="44" t="s">
        <v>682</v>
      </c>
      <c r="BV213" s="44" t="s">
        <v>682</v>
      </c>
      <c r="BW213" s="95" t="s">
        <v>2449</v>
      </c>
      <c r="BX213" s="95" t="s">
        <v>2449</v>
      </c>
      <c r="BY213" s="95" t="s">
        <v>2541</v>
      </c>
      <c r="BZ213" s="95" t="s">
        <v>2541</v>
      </c>
      <c r="CA213" s="95">
        <v>2</v>
      </c>
      <c r="CB213" s="98">
        <v>11.764705882352942</v>
      </c>
      <c r="CC213" s="95">
        <v>0</v>
      </c>
      <c r="CD213" s="98">
        <v>0</v>
      </c>
      <c r="CE213" s="95">
        <v>0</v>
      </c>
      <c r="CF213" s="98">
        <v>0</v>
      </c>
      <c r="CG213" s="95">
        <v>15</v>
      </c>
      <c r="CH213" s="98">
        <v>88.23529411764706</v>
      </c>
      <c r="CI213" s="95">
        <v>17</v>
      </c>
      <c r="CJ213" s="116" t="str">
        <f>REPLACE(INDEX(GroupVertices[Group],MATCH("~"&amp;Vertices[[#This Row],[Vertex]],GroupVertices[Vertex],0)),1,1,"")</f>
        <v>12</v>
      </c>
      <c r="CK213" s="95"/>
      <c r="CL213" s="95"/>
      <c r="CM213" s="95" t="s">
        <v>682</v>
      </c>
      <c r="CN213" s="95" t="s">
        <v>682</v>
      </c>
      <c r="CO213" s="2"/>
    </row>
    <row r="214" spans="1:93" ht="41.45" customHeight="1">
      <c r="A214" s="59" t="s">
        <v>315</v>
      </c>
      <c r="C214" s="60"/>
      <c r="D214" s="60" t="s">
        <v>64</v>
      </c>
      <c r="E214" s="61"/>
      <c r="F214" s="63"/>
      <c r="G214" s="92" t="str">
        <f>HYPERLINK("https://pbs.twimg.com/profile_images/1561304180655943680/YZrRUe5N_normal.jpg")</f>
        <v>https://pbs.twimg.com/profile_images/1561304180655943680/YZrRUe5N_normal.jpg</v>
      </c>
      <c r="H214" s="60"/>
      <c r="I214" s="64" t="str">
        <f>Vertices[[#This Row],[Vertex]]</f>
        <v>rasyeed_amree</v>
      </c>
      <c r="J214" s="65"/>
      <c r="K214" s="65"/>
      <c r="L214" s="64"/>
      <c r="M214" s="68"/>
      <c r="N214" s="69">
        <v>6089.900390625</v>
      </c>
      <c r="O214" s="69">
        <v>4621.6142578125</v>
      </c>
      <c r="P214" s="70"/>
      <c r="Q214" s="71"/>
      <c r="R214" s="71"/>
      <c r="S214" s="78"/>
      <c r="T214" s="44">
        <v>0</v>
      </c>
      <c r="U214" s="44">
        <v>1</v>
      </c>
      <c r="V214" s="45">
        <v>0</v>
      </c>
      <c r="W214" s="45">
        <v>0.11845</v>
      </c>
      <c r="X214" s="45">
        <v>0.001136</v>
      </c>
      <c r="Y214" s="45">
        <v>0.003378</v>
      </c>
      <c r="Z214" s="45">
        <v>0</v>
      </c>
      <c r="AA214" s="45">
        <v>0</v>
      </c>
      <c r="AB214" s="66">
        <v>214</v>
      </c>
      <c r="AC2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4" s="67"/>
      <c r="AE214" t="s">
        <v>1757</v>
      </c>
      <c r="AF214" s="74" t="s">
        <v>1466</v>
      </c>
      <c r="AG214">
        <v>83</v>
      </c>
      <c r="AH214">
        <v>110</v>
      </c>
      <c r="AI214">
        <v>4375</v>
      </c>
      <c r="AJ214">
        <v>0</v>
      </c>
      <c r="AK214">
        <v>3599</v>
      </c>
      <c r="AL214">
        <v>100</v>
      </c>
      <c r="AM214" t="b">
        <v>0</v>
      </c>
      <c r="AN214" s="73">
        <v>43266.25480324074</v>
      </c>
      <c r="AP214" t="s">
        <v>2222</v>
      </c>
      <c r="AY214" t="b">
        <v>0</v>
      </c>
      <c r="BB214" t="b">
        <v>0</v>
      </c>
      <c r="BC214" t="b">
        <v>1</v>
      </c>
      <c r="BD214" t="b">
        <v>1</v>
      </c>
      <c r="BE214" t="b">
        <v>0</v>
      </c>
      <c r="BF214" t="b">
        <v>1</v>
      </c>
      <c r="BG214" t="b">
        <v>0</v>
      </c>
      <c r="BH214" t="b">
        <v>0</v>
      </c>
      <c r="BK214" t="s">
        <v>2343</v>
      </c>
      <c r="BL214" t="b">
        <v>0</v>
      </c>
      <c r="BN214" t="s">
        <v>66</v>
      </c>
      <c r="BO214" t="s">
        <v>2345</v>
      </c>
      <c r="BP214" s="76" t="str">
        <f>HYPERLINK("https://twitter.com/rasyeed_amree")</f>
        <v>https://twitter.com/rasyeed_amree</v>
      </c>
      <c r="BQ214" s="44"/>
      <c r="BR214" s="44"/>
      <c r="BS214" s="44"/>
      <c r="BT214" s="44"/>
      <c r="BU214" s="44" t="s">
        <v>702</v>
      </c>
      <c r="BV214" s="44" t="s">
        <v>702</v>
      </c>
      <c r="BW214" s="95" t="s">
        <v>3435</v>
      </c>
      <c r="BX214" s="95" t="s">
        <v>3435</v>
      </c>
      <c r="BY214" s="95" t="s">
        <v>3458</v>
      </c>
      <c r="BZ214" s="95" t="s">
        <v>3458</v>
      </c>
      <c r="CA214" s="95">
        <v>1</v>
      </c>
      <c r="CB214" s="98">
        <v>11.11111111111111</v>
      </c>
      <c r="CC214" s="95">
        <v>0</v>
      </c>
      <c r="CD214" s="98">
        <v>0</v>
      </c>
      <c r="CE214" s="95">
        <v>0</v>
      </c>
      <c r="CF214" s="98">
        <v>0</v>
      </c>
      <c r="CG214" s="95">
        <v>8</v>
      </c>
      <c r="CH214" s="98">
        <v>88.88888888888889</v>
      </c>
      <c r="CI214" s="95">
        <v>9</v>
      </c>
      <c r="CJ214" s="116" t="str">
        <f>REPLACE(INDEX(GroupVertices[Group],MATCH("~"&amp;Vertices[[#This Row],[Vertex]],GroupVertices[Vertex],0)),1,1,"")</f>
        <v>11</v>
      </c>
      <c r="CK214" s="95"/>
      <c r="CL214" s="95"/>
      <c r="CM214" s="95" t="s">
        <v>702</v>
      </c>
      <c r="CN214" s="95" t="s">
        <v>702</v>
      </c>
      <c r="CO214" s="2"/>
    </row>
    <row r="215" spans="1:93" ht="41.45" customHeight="1">
      <c r="A215" s="59" t="s">
        <v>252</v>
      </c>
      <c r="C215" s="60"/>
      <c r="D215" s="60" t="s">
        <v>64</v>
      </c>
      <c r="E215" s="61"/>
      <c r="F215" s="63"/>
      <c r="G215" s="92" t="str">
        <f>HYPERLINK("https://pbs.twimg.com/profile_images/1370343220643651589/ZMEKjwW__normal.jpg")</f>
        <v>https://pbs.twimg.com/profile_images/1370343220643651589/ZMEKjwW__normal.jpg</v>
      </c>
      <c r="H215" s="60"/>
      <c r="I215" s="64" t="str">
        <f>Vertices[[#This Row],[Vertex]]</f>
        <v>ferden62480561</v>
      </c>
      <c r="J215" s="65"/>
      <c r="K215" s="65"/>
      <c r="L215" s="64"/>
      <c r="M215" s="68"/>
      <c r="N215" s="69">
        <v>6187.5</v>
      </c>
      <c r="O215" s="69">
        <v>3783.40673828125</v>
      </c>
      <c r="P215" s="70"/>
      <c r="Q215" s="71"/>
      <c r="R215" s="71"/>
      <c r="S215" s="78"/>
      <c r="T215" s="44">
        <v>0</v>
      </c>
      <c r="U215" s="44">
        <v>1</v>
      </c>
      <c r="V215" s="45">
        <v>0</v>
      </c>
      <c r="W215" s="45">
        <v>0.11845</v>
      </c>
      <c r="X215" s="45">
        <v>0.001136</v>
      </c>
      <c r="Y215" s="45">
        <v>0.003378</v>
      </c>
      <c r="Z215" s="45">
        <v>0</v>
      </c>
      <c r="AA215" s="45">
        <v>0</v>
      </c>
      <c r="AB215" s="66">
        <v>215</v>
      </c>
      <c r="AC2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5" s="67"/>
      <c r="AE215" t="s">
        <v>1603</v>
      </c>
      <c r="AF215" s="74" t="s">
        <v>1422</v>
      </c>
      <c r="AG215">
        <v>54</v>
      </c>
      <c r="AH215">
        <v>216</v>
      </c>
      <c r="AI215">
        <v>1200</v>
      </c>
      <c r="AJ215">
        <v>0</v>
      </c>
      <c r="AK215">
        <v>5438</v>
      </c>
      <c r="AL215">
        <v>132</v>
      </c>
      <c r="AM215" t="b">
        <v>0</v>
      </c>
      <c r="AN215" s="73">
        <v>44267.49795138889</v>
      </c>
      <c r="AY215" t="b">
        <v>0</v>
      </c>
      <c r="BB215" t="b">
        <v>0</v>
      </c>
      <c r="BC215" t="b">
        <v>1</v>
      </c>
      <c r="BD215" t="b">
        <v>1</v>
      </c>
      <c r="BE215" t="b">
        <v>0</v>
      </c>
      <c r="BF215" t="b">
        <v>0</v>
      </c>
      <c r="BG215" t="b">
        <v>0</v>
      </c>
      <c r="BH215" t="b">
        <v>0</v>
      </c>
      <c r="BK215" t="s">
        <v>2343</v>
      </c>
      <c r="BL215" t="b">
        <v>0</v>
      </c>
      <c r="BN215" t="s">
        <v>66</v>
      </c>
      <c r="BO215" t="s">
        <v>2345</v>
      </c>
      <c r="BP215" s="76" t="str">
        <f>HYPERLINK("https://twitter.com/ferden62480561")</f>
        <v>https://twitter.com/ferden62480561</v>
      </c>
      <c r="BQ215" s="44"/>
      <c r="BR215" s="44"/>
      <c r="BS215" s="44"/>
      <c r="BT215" s="44"/>
      <c r="BU215" s="44"/>
      <c r="BV215" s="44"/>
      <c r="BW215" s="95" t="s">
        <v>11444</v>
      </c>
      <c r="BX215" s="95" t="s">
        <v>11444</v>
      </c>
      <c r="BY215" s="95" t="s">
        <v>2512</v>
      </c>
      <c r="BZ215" s="95" t="s">
        <v>2512</v>
      </c>
      <c r="CA215" s="95">
        <v>4</v>
      </c>
      <c r="CB215" s="98">
        <v>36.36363636363637</v>
      </c>
      <c r="CC215" s="95">
        <v>0</v>
      </c>
      <c r="CD215" s="98">
        <v>0</v>
      </c>
      <c r="CE215" s="95">
        <v>0</v>
      </c>
      <c r="CF215" s="98">
        <v>0</v>
      </c>
      <c r="CG215" s="95">
        <v>7</v>
      </c>
      <c r="CH215" s="98">
        <v>63.63636363636363</v>
      </c>
      <c r="CI215" s="95">
        <v>11</v>
      </c>
      <c r="CJ215" s="116" t="str">
        <f>REPLACE(INDEX(GroupVertices[Group],MATCH("~"&amp;Vertices[[#This Row],[Vertex]],GroupVertices[Vertex],0)),1,1,"")</f>
        <v>11</v>
      </c>
      <c r="CK215" s="95"/>
      <c r="CL215" s="95"/>
      <c r="CM215" s="95"/>
      <c r="CN215" s="95"/>
      <c r="CO215" s="2"/>
    </row>
    <row r="216" spans="1:93" ht="41.45" customHeight="1">
      <c r="A216" s="59" t="s">
        <v>244</v>
      </c>
      <c r="C216" s="60"/>
      <c r="D216" s="60" t="s">
        <v>64</v>
      </c>
      <c r="E216" s="61"/>
      <c r="F216" s="63"/>
      <c r="G216" s="92" t="str">
        <f>HYPERLINK("https://pbs.twimg.com/profile_images/1462267659978887168/SvR_oFeR_normal.jpg")</f>
        <v>https://pbs.twimg.com/profile_images/1462267659978887168/SvR_oFeR_normal.jpg</v>
      </c>
      <c r="H216" s="60"/>
      <c r="I216" s="64" t="str">
        <f>Vertices[[#This Row],[Vertex]]</f>
        <v>pahmilubis10</v>
      </c>
      <c r="J216" s="65"/>
      <c r="K216" s="65"/>
      <c r="L216" s="64"/>
      <c r="M216" s="68"/>
      <c r="N216" s="69">
        <v>3961.058837890625</v>
      </c>
      <c r="O216" s="69">
        <v>6654.33837890625</v>
      </c>
      <c r="P216" s="70"/>
      <c r="Q216" s="71"/>
      <c r="R216" s="71"/>
      <c r="S216" s="78"/>
      <c r="T216" s="44">
        <v>0</v>
      </c>
      <c r="U216" s="44">
        <v>1</v>
      </c>
      <c r="V216" s="45">
        <v>0</v>
      </c>
      <c r="W216" s="45">
        <v>0.117074</v>
      </c>
      <c r="X216" s="45">
        <v>0.00113</v>
      </c>
      <c r="Y216" s="45">
        <v>0.003439</v>
      </c>
      <c r="Z216" s="45">
        <v>0</v>
      </c>
      <c r="AA216" s="45">
        <v>0</v>
      </c>
      <c r="AB216" s="66">
        <v>216</v>
      </c>
      <c r="AC2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6" s="67"/>
      <c r="AE216" t="s">
        <v>1580</v>
      </c>
      <c r="AF216" s="74" t="s">
        <v>1415</v>
      </c>
      <c r="AG216">
        <v>28</v>
      </c>
      <c r="AH216">
        <v>111</v>
      </c>
      <c r="AI216">
        <v>7335</v>
      </c>
      <c r="AJ216">
        <v>0</v>
      </c>
      <c r="AK216">
        <v>3306</v>
      </c>
      <c r="AL216">
        <v>0</v>
      </c>
      <c r="AM216" t="b">
        <v>0</v>
      </c>
      <c r="AN216" s="73">
        <v>44521.15232638889</v>
      </c>
      <c r="AP216" t="s">
        <v>2061</v>
      </c>
      <c r="AY216" t="b">
        <v>0</v>
      </c>
      <c r="BB216" t="b">
        <v>0</v>
      </c>
      <c r="BC216" t="b">
        <v>1</v>
      </c>
      <c r="BD216" t="b">
        <v>1</v>
      </c>
      <c r="BE216" t="b">
        <v>0</v>
      </c>
      <c r="BF216" t="b">
        <v>1</v>
      </c>
      <c r="BG216" t="b">
        <v>0</v>
      </c>
      <c r="BH216" t="b">
        <v>0</v>
      </c>
      <c r="BK216" t="s">
        <v>2343</v>
      </c>
      <c r="BL216" t="b">
        <v>0</v>
      </c>
      <c r="BN216" t="s">
        <v>66</v>
      </c>
      <c r="BO216" t="s">
        <v>2345</v>
      </c>
      <c r="BP216" s="76" t="str">
        <f>HYPERLINK("https://twitter.com/pahmilubis10")</f>
        <v>https://twitter.com/pahmilubis10</v>
      </c>
      <c r="BQ216" s="44"/>
      <c r="BR216" s="44"/>
      <c r="BS216" s="44"/>
      <c r="BT216" s="44"/>
      <c r="BU216" s="44"/>
      <c r="BV216" s="44"/>
      <c r="BW216" s="95" t="s">
        <v>11445</v>
      </c>
      <c r="BX216" s="95" t="s">
        <v>11445</v>
      </c>
      <c r="BY216" s="95" t="s">
        <v>2505</v>
      </c>
      <c r="BZ216" s="95" t="s">
        <v>2505</v>
      </c>
      <c r="CA216" s="95">
        <v>3</v>
      </c>
      <c r="CB216" s="98">
        <v>27.272727272727273</v>
      </c>
      <c r="CC216" s="95">
        <v>0</v>
      </c>
      <c r="CD216" s="98">
        <v>0</v>
      </c>
      <c r="CE216" s="95">
        <v>0</v>
      </c>
      <c r="CF216" s="98">
        <v>0</v>
      </c>
      <c r="CG216" s="95">
        <v>8</v>
      </c>
      <c r="CH216" s="98">
        <v>72.72727272727273</v>
      </c>
      <c r="CI216" s="95">
        <v>11</v>
      </c>
      <c r="CJ216" s="116" t="str">
        <f>REPLACE(INDEX(GroupVertices[Group],MATCH("~"&amp;Vertices[[#This Row],[Vertex]],GroupVertices[Vertex],0)),1,1,"")</f>
        <v>5</v>
      </c>
      <c r="CK216" s="95"/>
      <c r="CL216" s="95"/>
      <c r="CM216" s="95"/>
      <c r="CN216" s="95"/>
      <c r="CO216" s="2"/>
    </row>
    <row r="217" spans="1:93" ht="41.45" customHeight="1">
      <c r="A217" s="59" t="s">
        <v>257</v>
      </c>
      <c r="C217" s="60"/>
      <c r="D217" s="60" t="s">
        <v>64</v>
      </c>
      <c r="E217" s="61"/>
      <c r="F217" s="63"/>
      <c r="G217" s="92" t="str">
        <f>HYPERLINK("https://pbs.twimg.com/profile_images/1365473690046124041/zFu76XSd_normal.jpg")</f>
        <v>https://pbs.twimg.com/profile_images/1365473690046124041/zFu76XSd_normal.jpg</v>
      </c>
      <c r="H217" s="60"/>
      <c r="I217" s="64" t="str">
        <f>Vertices[[#This Row],[Vertex]]</f>
        <v>johnblack03</v>
      </c>
      <c r="J217" s="65"/>
      <c r="K217" s="65"/>
      <c r="L217" s="64"/>
      <c r="M217" s="68"/>
      <c r="N217" s="69">
        <v>6658.85791015625</v>
      </c>
      <c r="O217" s="69">
        <v>7989.845703125</v>
      </c>
      <c r="P217" s="70"/>
      <c r="Q217" s="71"/>
      <c r="R217" s="71"/>
      <c r="S217" s="78"/>
      <c r="T217" s="44">
        <v>0</v>
      </c>
      <c r="U217" s="44">
        <v>2</v>
      </c>
      <c r="V217" s="45">
        <v>114.898665</v>
      </c>
      <c r="W217" s="45">
        <v>0.114561</v>
      </c>
      <c r="X217" s="45">
        <v>0.003497</v>
      </c>
      <c r="Y217" s="45">
        <v>0.003652</v>
      </c>
      <c r="Z217" s="45">
        <v>0</v>
      </c>
      <c r="AA217" s="45">
        <v>0</v>
      </c>
      <c r="AB217" s="66">
        <v>217</v>
      </c>
      <c r="AC2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7" s="67"/>
      <c r="AE217" t="s">
        <v>1613</v>
      </c>
      <c r="AF217" s="74" t="s">
        <v>1427</v>
      </c>
      <c r="AG217">
        <v>180</v>
      </c>
      <c r="AH217">
        <v>221</v>
      </c>
      <c r="AI217">
        <v>22730</v>
      </c>
      <c r="AJ217">
        <v>1</v>
      </c>
      <c r="AK217">
        <v>8539</v>
      </c>
      <c r="AL217">
        <v>1144</v>
      </c>
      <c r="AM217" t="b">
        <v>0</v>
      </c>
      <c r="AN217" s="73">
        <v>44015.35927083333</v>
      </c>
      <c r="AP217" t="s">
        <v>2090</v>
      </c>
      <c r="AY217" t="b">
        <v>0</v>
      </c>
      <c r="BB217" t="b">
        <v>0</v>
      </c>
      <c r="BC217" t="b">
        <v>0</v>
      </c>
      <c r="BD217" t="b">
        <v>1</v>
      </c>
      <c r="BE217" t="b">
        <v>0</v>
      </c>
      <c r="BF217" t="b">
        <v>0</v>
      </c>
      <c r="BG217" t="b">
        <v>0</v>
      </c>
      <c r="BH217" t="b">
        <v>0</v>
      </c>
      <c r="BK217" t="s">
        <v>2343</v>
      </c>
      <c r="BL217" t="b">
        <v>0</v>
      </c>
      <c r="BN217" t="s">
        <v>66</v>
      </c>
      <c r="BO217" t="s">
        <v>2345</v>
      </c>
      <c r="BP217" s="76" t="str">
        <f>HYPERLINK("https://twitter.com/johnblack03")</f>
        <v>https://twitter.com/johnblack03</v>
      </c>
      <c r="BQ217" s="44"/>
      <c r="BR217" s="44"/>
      <c r="BS217" s="44"/>
      <c r="BT217" s="44"/>
      <c r="BU217" s="44"/>
      <c r="BV217" s="44"/>
      <c r="BW217" s="95" t="s">
        <v>11446</v>
      </c>
      <c r="BX217" s="95" t="s">
        <v>11446</v>
      </c>
      <c r="BY217" s="95" t="s">
        <v>2516</v>
      </c>
      <c r="BZ217" s="95" t="s">
        <v>2516</v>
      </c>
      <c r="CA217" s="95">
        <v>3</v>
      </c>
      <c r="CB217" s="98">
        <v>37.5</v>
      </c>
      <c r="CC217" s="95">
        <v>0</v>
      </c>
      <c r="CD217" s="98">
        <v>0</v>
      </c>
      <c r="CE217" s="95">
        <v>0</v>
      </c>
      <c r="CF217" s="98">
        <v>0</v>
      </c>
      <c r="CG217" s="95">
        <v>5</v>
      </c>
      <c r="CH217" s="98">
        <v>62.5</v>
      </c>
      <c r="CI217" s="95">
        <v>8</v>
      </c>
      <c r="CJ217" s="116" t="str">
        <f>REPLACE(INDEX(GroupVertices[Group],MATCH("~"&amp;Vertices[[#This Row],[Vertex]],GroupVertices[Vertex],0)),1,1,"")</f>
        <v>13</v>
      </c>
      <c r="CK217" s="95"/>
      <c r="CL217" s="95"/>
      <c r="CM217" s="95"/>
      <c r="CN217" s="95"/>
      <c r="CO217" s="2"/>
    </row>
    <row r="218" spans="1:93" ht="41.45" customHeight="1">
      <c r="A218" s="59" t="s">
        <v>303</v>
      </c>
      <c r="C218" s="60"/>
      <c r="D218" s="60" t="s">
        <v>64</v>
      </c>
      <c r="E218" s="61"/>
      <c r="F218" s="63"/>
      <c r="G218" s="92" t="str">
        <f>HYPERLINK("https://pbs.twimg.com/profile_images/1344974135525478400/AAKdYcGp_normal.jpg")</f>
        <v>https://pbs.twimg.com/profile_images/1344974135525478400/AAKdYcGp_normal.jpg</v>
      </c>
      <c r="H218" s="60"/>
      <c r="I218" s="64" t="str">
        <f>Vertices[[#This Row],[Vertex]]</f>
        <v>masyarakat2021</v>
      </c>
      <c r="J218" s="65"/>
      <c r="K218" s="65"/>
      <c r="L218" s="64"/>
      <c r="M218" s="68"/>
      <c r="N218" s="69">
        <v>7001.478515625</v>
      </c>
      <c r="O218" s="69">
        <v>6598.43896484375</v>
      </c>
      <c r="P218" s="70"/>
      <c r="Q218" s="71"/>
      <c r="R218" s="71"/>
      <c r="S218" s="78"/>
      <c r="T218" s="44">
        <v>0</v>
      </c>
      <c r="U218" s="44">
        <v>1</v>
      </c>
      <c r="V218" s="45">
        <v>0</v>
      </c>
      <c r="W218" s="45">
        <v>0.114273</v>
      </c>
      <c r="X218" s="45">
        <v>0.003195</v>
      </c>
      <c r="Y218" s="45">
        <v>0.003375</v>
      </c>
      <c r="Z218" s="45">
        <v>0</v>
      </c>
      <c r="AA218" s="45">
        <v>0</v>
      </c>
      <c r="AB218" s="66">
        <v>218</v>
      </c>
      <c r="AC2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8" s="67"/>
      <c r="AE218" t="s">
        <v>1743</v>
      </c>
      <c r="AF218" s="74" t="s">
        <v>1459</v>
      </c>
      <c r="AG218">
        <v>934</v>
      </c>
      <c r="AH218">
        <v>1273</v>
      </c>
      <c r="AI218">
        <v>18839</v>
      </c>
      <c r="AJ218">
        <v>0</v>
      </c>
      <c r="AK218">
        <v>26009</v>
      </c>
      <c r="AL218">
        <v>79</v>
      </c>
      <c r="AM218" t="b">
        <v>0</v>
      </c>
      <c r="AN218" s="73">
        <v>44197.30116898148</v>
      </c>
      <c r="AY218" t="b">
        <v>0</v>
      </c>
      <c r="BB218" t="b">
        <v>0</v>
      </c>
      <c r="BC218" t="b">
        <v>1</v>
      </c>
      <c r="BD218" t="b">
        <v>1</v>
      </c>
      <c r="BE218" t="b">
        <v>0</v>
      </c>
      <c r="BF218" t="b">
        <v>1</v>
      </c>
      <c r="BG218" t="b">
        <v>0</v>
      </c>
      <c r="BH218" t="b">
        <v>0</v>
      </c>
      <c r="BI218" s="76" t="str">
        <f>HYPERLINK("https://pbs.twimg.com/profile_banners/1344904391367643136/1609485884")</f>
        <v>https://pbs.twimg.com/profile_banners/1344904391367643136/1609485884</v>
      </c>
      <c r="BK218" t="s">
        <v>2343</v>
      </c>
      <c r="BL218" t="b">
        <v>0</v>
      </c>
      <c r="BN218" t="s">
        <v>66</v>
      </c>
      <c r="BO218" t="s">
        <v>2345</v>
      </c>
      <c r="BP218" s="76" t="str">
        <f>HYPERLINK("https://twitter.com/masyarakat2021")</f>
        <v>https://twitter.com/masyarakat2021</v>
      </c>
      <c r="BQ218" s="44"/>
      <c r="BR218" s="44"/>
      <c r="BS218" s="44"/>
      <c r="BT218" s="44"/>
      <c r="BU218" s="44"/>
      <c r="BV218" s="44"/>
      <c r="BW218" s="95" t="s">
        <v>3293</v>
      </c>
      <c r="BX218" s="95" t="s">
        <v>3293</v>
      </c>
      <c r="BY218" s="95" t="s">
        <v>2530</v>
      </c>
      <c r="BZ218" s="95" t="s">
        <v>2530</v>
      </c>
      <c r="CA218" s="95">
        <v>3</v>
      </c>
      <c r="CB218" s="98">
        <v>100</v>
      </c>
      <c r="CC218" s="95">
        <v>0</v>
      </c>
      <c r="CD218" s="98">
        <v>0</v>
      </c>
      <c r="CE218" s="95">
        <v>0</v>
      </c>
      <c r="CF218" s="98">
        <v>0</v>
      </c>
      <c r="CG218" s="95">
        <v>0</v>
      </c>
      <c r="CH218" s="98">
        <v>0</v>
      </c>
      <c r="CI218" s="95">
        <v>3</v>
      </c>
      <c r="CJ218" s="116" t="str">
        <f>REPLACE(INDEX(GroupVertices[Group],MATCH("~"&amp;Vertices[[#This Row],[Vertex]],GroupVertices[Vertex],0)),1,1,"")</f>
        <v>13</v>
      </c>
      <c r="CK218" s="95"/>
      <c r="CL218" s="95"/>
      <c r="CM218" s="95"/>
      <c r="CN218" s="95"/>
      <c r="CO218" s="2"/>
    </row>
    <row r="219" spans="1:93" ht="41.45" customHeight="1">
      <c r="A219" s="59" t="s">
        <v>312</v>
      </c>
      <c r="C219" s="60"/>
      <c r="D219" s="60" t="s">
        <v>64</v>
      </c>
      <c r="E219" s="61"/>
      <c r="F219" s="63"/>
      <c r="G219" s="92" t="str">
        <f>HYPERLINK("https://pbs.twimg.com/profile_images/949285402552102912/vXU1ljdl_normal.jpg")</f>
        <v>https://pbs.twimg.com/profile_images/949285402552102912/vXU1ljdl_normal.jpg</v>
      </c>
      <c r="H219" s="60"/>
      <c r="I219" s="64" t="str">
        <f>Vertices[[#This Row],[Vertex]]</f>
        <v>imamsunartoarif</v>
      </c>
      <c r="J219" s="65"/>
      <c r="K219" s="65"/>
      <c r="L219" s="64"/>
      <c r="M219" s="68"/>
      <c r="N219" s="69">
        <v>7239.44873046875</v>
      </c>
      <c r="O219" s="69">
        <v>8908.3662109375</v>
      </c>
      <c r="P219" s="70"/>
      <c r="Q219" s="71"/>
      <c r="R219" s="71"/>
      <c r="S219" s="78"/>
      <c r="T219" s="44">
        <v>0</v>
      </c>
      <c r="U219" s="44">
        <v>1</v>
      </c>
      <c r="V219" s="45">
        <v>0</v>
      </c>
      <c r="W219" s="45">
        <v>0.114273</v>
      </c>
      <c r="X219" s="45">
        <v>0.003195</v>
      </c>
      <c r="Y219" s="45">
        <v>0.003375</v>
      </c>
      <c r="Z219" s="45">
        <v>0</v>
      </c>
      <c r="AA219" s="45">
        <v>0</v>
      </c>
      <c r="AB219" s="66">
        <v>219</v>
      </c>
      <c r="AC2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9" s="67"/>
      <c r="AE219" t="s">
        <v>1754</v>
      </c>
      <c r="AF219" s="74" t="s">
        <v>1905</v>
      </c>
      <c r="AG219">
        <v>265</v>
      </c>
      <c r="AH219">
        <v>637</v>
      </c>
      <c r="AI219">
        <v>3920</v>
      </c>
      <c r="AJ219">
        <v>0</v>
      </c>
      <c r="AK219">
        <v>8424</v>
      </c>
      <c r="AL219">
        <v>72</v>
      </c>
      <c r="AM219" t="b">
        <v>0</v>
      </c>
      <c r="AN219" s="73">
        <v>40512.110138888886</v>
      </c>
      <c r="AO219" t="s">
        <v>1957</v>
      </c>
      <c r="AY219" t="b">
        <v>0</v>
      </c>
      <c r="BB219" t="b">
        <v>0</v>
      </c>
      <c r="BC219" t="b">
        <v>1</v>
      </c>
      <c r="BD219" t="b">
        <v>1</v>
      </c>
      <c r="BE219" t="b">
        <v>0</v>
      </c>
      <c r="BF219" t="b">
        <v>0</v>
      </c>
      <c r="BG219" t="b">
        <v>0</v>
      </c>
      <c r="BH219" t="b">
        <v>0</v>
      </c>
      <c r="BI219" s="76" t="str">
        <f>HYPERLINK("https://pbs.twimg.com/profile_banners/221229468/1500322059")</f>
        <v>https://pbs.twimg.com/profile_banners/221229468/1500322059</v>
      </c>
      <c r="BK219" t="s">
        <v>2343</v>
      </c>
      <c r="BL219" t="b">
        <v>0</v>
      </c>
      <c r="BN219" t="s">
        <v>66</v>
      </c>
      <c r="BO219" t="s">
        <v>2345</v>
      </c>
      <c r="BP219" s="76" t="str">
        <f>HYPERLINK("https://twitter.com/imamsunartoarif")</f>
        <v>https://twitter.com/imamsunartoarif</v>
      </c>
      <c r="BQ219" s="44"/>
      <c r="BR219" s="44"/>
      <c r="BS219" s="44"/>
      <c r="BT219" s="44"/>
      <c r="BU219" s="44" t="s">
        <v>701</v>
      </c>
      <c r="BV219" s="44" t="s">
        <v>701</v>
      </c>
      <c r="BW219" s="95" t="s">
        <v>2460</v>
      </c>
      <c r="BX219" s="95" t="s">
        <v>2460</v>
      </c>
      <c r="BY219" s="95" t="s">
        <v>2558</v>
      </c>
      <c r="BZ219" s="95" t="s">
        <v>2558</v>
      </c>
      <c r="CA219" s="95">
        <v>2</v>
      </c>
      <c r="CB219" s="98">
        <v>5.405405405405405</v>
      </c>
      <c r="CC219" s="95">
        <v>2</v>
      </c>
      <c r="CD219" s="98">
        <v>5.405405405405405</v>
      </c>
      <c r="CE219" s="95">
        <v>0</v>
      </c>
      <c r="CF219" s="98">
        <v>0</v>
      </c>
      <c r="CG219" s="95">
        <v>32</v>
      </c>
      <c r="CH219" s="98">
        <v>86.48648648648648</v>
      </c>
      <c r="CI219" s="95">
        <v>37</v>
      </c>
      <c r="CJ219" s="116" t="str">
        <f>REPLACE(INDEX(GroupVertices[Group],MATCH("~"&amp;Vertices[[#This Row],[Vertex]],GroupVertices[Vertex],0)),1,1,"")</f>
        <v>13</v>
      </c>
      <c r="CK219" s="95"/>
      <c r="CL219" s="95"/>
      <c r="CM219" s="95" t="s">
        <v>701</v>
      </c>
      <c r="CN219" s="95" t="s">
        <v>701</v>
      </c>
      <c r="CO219" s="2"/>
    </row>
    <row r="220" spans="1:93" ht="41.45" customHeight="1">
      <c r="A220" s="59" t="s">
        <v>319</v>
      </c>
      <c r="C220" s="60"/>
      <c r="D220" s="60" t="s">
        <v>64</v>
      </c>
      <c r="E220" s="61"/>
      <c r="F220" s="63"/>
      <c r="G220" s="92" t="str">
        <f>HYPERLINK("https://pbs.twimg.com/profile_images/1720824613675163648/qp2uj9Te_normal.jpg")</f>
        <v>https://pbs.twimg.com/profile_images/1720824613675163648/qp2uj9Te_normal.jpg</v>
      </c>
      <c r="H220" s="60"/>
      <c r="I220" s="64" t="str">
        <f>Vertices[[#This Row],[Vertex]]</f>
        <v>jokolipservice</v>
      </c>
      <c r="J220" s="65"/>
      <c r="K220" s="65"/>
      <c r="L220" s="64"/>
      <c r="M220" s="68"/>
      <c r="N220" s="69">
        <v>5196.064453125</v>
      </c>
      <c r="O220" s="69">
        <v>675.6094970703125</v>
      </c>
      <c r="P220" s="70"/>
      <c r="Q220" s="71"/>
      <c r="R220" s="71"/>
      <c r="S220" s="78"/>
      <c r="T220" s="44">
        <v>0</v>
      </c>
      <c r="U220" s="44">
        <v>1</v>
      </c>
      <c r="V220" s="45">
        <v>0</v>
      </c>
      <c r="W220" s="45">
        <v>0.112154</v>
      </c>
      <c r="X220" s="45">
        <v>0.002397</v>
      </c>
      <c r="Y220" s="45">
        <v>0.003384</v>
      </c>
      <c r="Z220" s="45">
        <v>0</v>
      </c>
      <c r="AA220" s="45">
        <v>0</v>
      </c>
      <c r="AB220" s="66">
        <v>220</v>
      </c>
      <c r="AC2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0" s="67"/>
      <c r="AE220" t="s">
        <v>1766</v>
      </c>
      <c r="AF220" s="74" t="s">
        <v>1912</v>
      </c>
      <c r="AG220">
        <v>12314</v>
      </c>
      <c r="AH220">
        <v>3387</v>
      </c>
      <c r="AI220">
        <v>124676</v>
      </c>
      <c r="AJ220">
        <v>10</v>
      </c>
      <c r="AK220">
        <v>24557</v>
      </c>
      <c r="AL220">
        <v>5099</v>
      </c>
      <c r="AM220" t="b">
        <v>0</v>
      </c>
      <c r="AN220" s="73">
        <v>41705.87571759259</v>
      </c>
      <c r="AO220" t="s">
        <v>1945</v>
      </c>
      <c r="AP220" t="s">
        <v>2230</v>
      </c>
      <c r="AY220" t="b">
        <v>0</v>
      </c>
      <c r="BB220" t="b">
        <v>0</v>
      </c>
      <c r="BC220" t="b">
        <v>0</v>
      </c>
      <c r="BD220" t="b">
        <v>1</v>
      </c>
      <c r="BE220" t="b">
        <v>0</v>
      </c>
      <c r="BF220" t="b">
        <v>1</v>
      </c>
      <c r="BG220" t="b">
        <v>0</v>
      </c>
      <c r="BH220" t="b">
        <v>0</v>
      </c>
      <c r="BI220" s="76" t="str">
        <f>HYPERLINK("https://pbs.twimg.com/profile_banners/2377644162/1627841279")</f>
        <v>https://pbs.twimg.com/profile_banners/2377644162/1627841279</v>
      </c>
      <c r="BK220" t="s">
        <v>2343</v>
      </c>
      <c r="BL220" t="b">
        <v>0</v>
      </c>
      <c r="BN220" t="s">
        <v>66</v>
      </c>
      <c r="BO220" t="s">
        <v>2345</v>
      </c>
      <c r="BP220" s="76" t="str">
        <f>HYPERLINK("https://twitter.com/jokolipservice")</f>
        <v>https://twitter.com/jokolipservice</v>
      </c>
      <c r="BQ220" s="44"/>
      <c r="BR220" s="44"/>
      <c r="BS220" s="44"/>
      <c r="BT220" s="44"/>
      <c r="BU220" s="44" t="s">
        <v>682</v>
      </c>
      <c r="BV220" s="44" t="s">
        <v>682</v>
      </c>
      <c r="BW220" s="95" t="s">
        <v>2463</v>
      </c>
      <c r="BX220" s="95" t="s">
        <v>2463</v>
      </c>
      <c r="BY220" s="95" t="s">
        <v>2562</v>
      </c>
      <c r="BZ220" s="95" t="s">
        <v>2562</v>
      </c>
      <c r="CA220" s="95">
        <v>2</v>
      </c>
      <c r="CB220" s="98">
        <v>28.571428571428573</v>
      </c>
      <c r="CC220" s="95">
        <v>0</v>
      </c>
      <c r="CD220" s="98">
        <v>0</v>
      </c>
      <c r="CE220" s="95">
        <v>0</v>
      </c>
      <c r="CF220" s="98">
        <v>0</v>
      </c>
      <c r="CG220" s="95">
        <v>5</v>
      </c>
      <c r="CH220" s="98">
        <v>71.42857142857143</v>
      </c>
      <c r="CI220" s="95">
        <v>7</v>
      </c>
      <c r="CJ220" s="116" t="str">
        <f>REPLACE(INDEX(GroupVertices[Group],MATCH("~"&amp;Vertices[[#This Row],[Vertex]],GroupVertices[Vertex],0)),1,1,"")</f>
        <v>9</v>
      </c>
      <c r="CK220" s="95"/>
      <c r="CL220" s="95"/>
      <c r="CM220" s="95" t="s">
        <v>682</v>
      </c>
      <c r="CN220" s="95" t="s">
        <v>682</v>
      </c>
      <c r="CO220" s="2"/>
    </row>
    <row r="221" spans="1:93" ht="41.45" customHeight="1">
      <c r="A221" s="59" t="s">
        <v>304</v>
      </c>
      <c r="C221" s="60"/>
      <c r="D221" s="60" t="s">
        <v>64</v>
      </c>
      <c r="E221" s="61"/>
      <c r="F221" s="63"/>
      <c r="G221" s="92" t="str">
        <f>HYPERLINK("https://pbs.twimg.com/profile_images/1541233536983638016/LYPDbJJW_normal.jpg")</f>
        <v>https://pbs.twimg.com/profile_images/1541233536983638016/LYPDbJJW_normal.jpg</v>
      </c>
      <c r="H221" s="60"/>
      <c r="I221" s="64" t="str">
        <f>Vertices[[#This Row],[Vertex]]</f>
        <v>mdariusdah</v>
      </c>
      <c r="J221" s="65"/>
      <c r="K221" s="65"/>
      <c r="L221" s="64"/>
      <c r="M221" s="68"/>
      <c r="N221" s="69">
        <v>4981.60986328125</v>
      </c>
      <c r="O221" s="69">
        <v>4225.29345703125</v>
      </c>
      <c r="P221" s="70"/>
      <c r="Q221" s="71"/>
      <c r="R221" s="71"/>
      <c r="S221" s="78"/>
      <c r="T221" s="44">
        <v>0</v>
      </c>
      <c r="U221" s="44">
        <v>1</v>
      </c>
      <c r="V221" s="45">
        <v>0</v>
      </c>
      <c r="W221" s="45">
        <v>0.112154</v>
      </c>
      <c r="X221" s="45">
        <v>0.002397</v>
      </c>
      <c r="Y221" s="45">
        <v>0.003384</v>
      </c>
      <c r="Z221" s="45">
        <v>0</v>
      </c>
      <c r="AA221" s="45">
        <v>0</v>
      </c>
      <c r="AB221" s="66">
        <v>221</v>
      </c>
      <c r="AC2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1" s="67"/>
      <c r="AE221" t="s">
        <v>1744</v>
      </c>
      <c r="AF221" s="74" t="s">
        <v>1460</v>
      </c>
      <c r="AG221">
        <v>6073</v>
      </c>
      <c r="AH221">
        <v>6028</v>
      </c>
      <c r="AI221">
        <v>20198</v>
      </c>
      <c r="AJ221">
        <v>3</v>
      </c>
      <c r="AK221">
        <v>39236</v>
      </c>
      <c r="AL221">
        <v>1571</v>
      </c>
      <c r="AM221" t="b">
        <v>0</v>
      </c>
      <c r="AN221" s="73">
        <v>42829.38350694445</v>
      </c>
      <c r="AO221" t="s">
        <v>1942</v>
      </c>
      <c r="AP221" t="s">
        <v>2210</v>
      </c>
      <c r="AY221" t="b">
        <v>0</v>
      </c>
      <c r="BB221" t="b">
        <v>0</v>
      </c>
      <c r="BC221" t="b">
        <v>0</v>
      </c>
      <c r="BD221" t="b">
        <v>0</v>
      </c>
      <c r="BE221" t="b">
        <v>0</v>
      </c>
      <c r="BF221" t="b">
        <v>1</v>
      </c>
      <c r="BG221" t="b">
        <v>0</v>
      </c>
      <c r="BH221" t="b">
        <v>0</v>
      </c>
      <c r="BI221" s="76" t="str">
        <f>HYPERLINK("https://pbs.twimg.com/profile_banners/849187851065479168/1521520204")</f>
        <v>https://pbs.twimg.com/profile_banners/849187851065479168/1521520204</v>
      </c>
      <c r="BK221" t="s">
        <v>2343</v>
      </c>
      <c r="BL221" t="b">
        <v>0</v>
      </c>
      <c r="BN221" t="s">
        <v>66</v>
      </c>
      <c r="BO221" t="s">
        <v>2345</v>
      </c>
      <c r="BP221" s="76" t="str">
        <f>HYPERLINK("https://twitter.com/mdariusdah")</f>
        <v>https://twitter.com/mdariusdah</v>
      </c>
      <c r="BQ221" s="44"/>
      <c r="BR221" s="44"/>
      <c r="BS221" s="44"/>
      <c r="BT221" s="44"/>
      <c r="BU221" s="44" t="s">
        <v>682</v>
      </c>
      <c r="BV221" s="44" t="s">
        <v>682</v>
      </c>
      <c r="BW221" s="95" t="s">
        <v>2454</v>
      </c>
      <c r="BX221" s="95" t="s">
        <v>2454</v>
      </c>
      <c r="BY221" s="95" t="s">
        <v>2550</v>
      </c>
      <c r="BZ221" s="95" t="s">
        <v>2550</v>
      </c>
      <c r="CA221" s="95">
        <v>0</v>
      </c>
      <c r="CB221" s="98">
        <v>0</v>
      </c>
      <c r="CC221" s="95">
        <v>0</v>
      </c>
      <c r="CD221" s="98">
        <v>0</v>
      </c>
      <c r="CE221" s="95">
        <v>0</v>
      </c>
      <c r="CF221" s="98">
        <v>0</v>
      </c>
      <c r="CG221" s="95">
        <v>5</v>
      </c>
      <c r="CH221" s="98">
        <v>100</v>
      </c>
      <c r="CI221" s="95">
        <v>5</v>
      </c>
      <c r="CJ221" s="116" t="str">
        <f>REPLACE(INDEX(GroupVertices[Group],MATCH("~"&amp;Vertices[[#This Row],[Vertex]],GroupVertices[Vertex],0)),1,1,"")</f>
        <v>9</v>
      </c>
      <c r="CK221" s="95"/>
      <c r="CL221" s="95"/>
      <c r="CM221" s="95" t="s">
        <v>682</v>
      </c>
      <c r="CN221" s="95" t="s">
        <v>682</v>
      </c>
      <c r="CO221" s="2"/>
    </row>
    <row r="222" spans="1:93" ht="41.45" customHeight="1">
      <c r="A222" s="59" t="s">
        <v>301</v>
      </c>
      <c r="C222" s="60"/>
      <c r="D222" s="60" t="s">
        <v>64</v>
      </c>
      <c r="E222" s="61"/>
      <c r="F222" s="63"/>
      <c r="G222" s="92" t="str">
        <f>HYPERLINK("https://pbs.twimg.com/profile_images/1536574414384312322/CnguST2y_normal.jpg")</f>
        <v>https://pbs.twimg.com/profile_images/1536574414384312322/CnguST2y_normal.jpg</v>
      </c>
      <c r="H222" s="60"/>
      <c r="I222" s="64" t="str">
        <f>Vertices[[#This Row],[Vertex]]</f>
        <v>heindrahayyun1</v>
      </c>
      <c r="J222" s="65"/>
      <c r="K222" s="65"/>
      <c r="L222" s="64"/>
      <c r="M222" s="68"/>
      <c r="N222" s="69">
        <v>4833.56005859375</v>
      </c>
      <c r="O222" s="69">
        <v>1927.18896484375</v>
      </c>
      <c r="P222" s="70"/>
      <c r="Q222" s="71"/>
      <c r="R222" s="71"/>
      <c r="S222" s="78"/>
      <c r="T222" s="44">
        <v>0</v>
      </c>
      <c r="U222" s="44">
        <v>1</v>
      </c>
      <c r="V222" s="45">
        <v>0</v>
      </c>
      <c r="W222" s="45">
        <v>0.112154</v>
      </c>
      <c r="X222" s="45">
        <v>0.002397</v>
      </c>
      <c r="Y222" s="45">
        <v>0.003384</v>
      </c>
      <c r="Z222" s="45">
        <v>0</v>
      </c>
      <c r="AA222" s="45">
        <v>0</v>
      </c>
      <c r="AB222" s="66">
        <v>222</v>
      </c>
      <c r="AC2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2" s="67"/>
      <c r="AE222" t="s">
        <v>1741</v>
      </c>
      <c r="AF222" s="74" t="s">
        <v>1457</v>
      </c>
      <c r="AG222">
        <v>1089</v>
      </c>
      <c r="AH222">
        <v>1129</v>
      </c>
      <c r="AI222">
        <v>11817</v>
      </c>
      <c r="AJ222">
        <v>1</v>
      </c>
      <c r="AK222">
        <v>6768</v>
      </c>
      <c r="AL222">
        <v>259</v>
      </c>
      <c r="AM222" t="b">
        <v>0</v>
      </c>
      <c r="AN222" s="73">
        <v>44233.585324074076</v>
      </c>
      <c r="AP222" t="s">
        <v>2208</v>
      </c>
      <c r="AY222" t="b">
        <v>0</v>
      </c>
      <c r="BB222" t="b">
        <v>0</v>
      </c>
      <c r="BC222" t="b">
        <v>0</v>
      </c>
      <c r="BD222" t="b">
        <v>1</v>
      </c>
      <c r="BE222" t="b">
        <v>0</v>
      </c>
      <c r="BF222" t="b">
        <v>0</v>
      </c>
      <c r="BG222" t="b">
        <v>0</v>
      </c>
      <c r="BH222" t="b">
        <v>0</v>
      </c>
      <c r="BI222" s="76" t="str">
        <f>HYPERLINK("https://pbs.twimg.com/profile_banners/1358053455621812224/1655182956")</f>
        <v>https://pbs.twimg.com/profile_banners/1358053455621812224/1655182956</v>
      </c>
      <c r="BK222" t="s">
        <v>2343</v>
      </c>
      <c r="BL222" t="b">
        <v>0</v>
      </c>
      <c r="BN222" t="s">
        <v>66</v>
      </c>
      <c r="BO222" t="s">
        <v>2345</v>
      </c>
      <c r="BP222" s="76" t="str">
        <f>HYPERLINK("https://twitter.com/heindrahayyun1")</f>
        <v>https://twitter.com/heindrahayyun1</v>
      </c>
      <c r="BQ222" s="44"/>
      <c r="BR222" s="44"/>
      <c r="BS222" s="44"/>
      <c r="BT222" s="44"/>
      <c r="BU222" s="44" t="s">
        <v>682</v>
      </c>
      <c r="BV222" s="44" t="s">
        <v>682</v>
      </c>
      <c r="BW222" s="95" t="s">
        <v>2452</v>
      </c>
      <c r="BX222" s="95" t="s">
        <v>2452</v>
      </c>
      <c r="BY222" s="95" t="s">
        <v>2548</v>
      </c>
      <c r="BZ222" s="95" t="s">
        <v>2548</v>
      </c>
      <c r="CA222" s="95">
        <v>0</v>
      </c>
      <c r="CB222" s="98">
        <v>0</v>
      </c>
      <c r="CC222" s="95">
        <v>0</v>
      </c>
      <c r="CD222" s="98">
        <v>0</v>
      </c>
      <c r="CE222" s="95">
        <v>0</v>
      </c>
      <c r="CF222" s="98">
        <v>0</v>
      </c>
      <c r="CG222" s="95">
        <v>3</v>
      </c>
      <c r="CH222" s="98">
        <v>100</v>
      </c>
      <c r="CI222" s="95">
        <v>3</v>
      </c>
      <c r="CJ222" s="116" t="str">
        <f>REPLACE(INDEX(GroupVertices[Group],MATCH("~"&amp;Vertices[[#This Row],[Vertex]],GroupVertices[Vertex],0)),1,1,"")</f>
        <v>9</v>
      </c>
      <c r="CK222" s="95"/>
      <c r="CL222" s="95"/>
      <c r="CM222" s="95" t="s">
        <v>682</v>
      </c>
      <c r="CN222" s="95" t="s">
        <v>682</v>
      </c>
      <c r="CO222" s="2"/>
    </row>
    <row r="223" spans="1:93" ht="41.45" customHeight="1">
      <c r="A223" s="59" t="s">
        <v>236</v>
      </c>
      <c r="C223" s="60"/>
      <c r="D223" s="60" t="s">
        <v>64</v>
      </c>
      <c r="E223" s="61"/>
      <c r="F223" s="63"/>
      <c r="G223" s="92" t="str">
        <f>HYPERLINK("https://pbs.twimg.com/profile_images/1395768456671240196/ODQkyYlU_normal.jpg")</f>
        <v>https://pbs.twimg.com/profile_images/1395768456671240196/ODQkyYlU_normal.jpg</v>
      </c>
      <c r="H223" s="60"/>
      <c r="I223" s="64" t="str">
        <f>Vertices[[#This Row],[Vertex]]</f>
        <v>yeni_ekawati</v>
      </c>
      <c r="J223" s="65"/>
      <c r="K223" s="65"/>
      <c r="L223" s="64"/>
      <c r="M223" s="68"/>
      <c r="N223" s="69">
        <v>4975.36572265625</v>
      </c>
      <c r="O223" s="69">
        <v>915.1512451171875</v>
      </c>
      <c r="P223" s="70"/>
      <c r="Q223" s="71"/>
      <c r="R223" s="71"/>
      <c r="S223" s="78"/>
      <c r="T223" s="44">
        <v>0</v>
      </c>
      <c r="U223" s="44">
        <v>1</v>
      </c>
      <c r="V223" s="45">
        <v>0</v>
      </c>
      <c r="W223" s="45">
        <v>0.112154</v>
      </c>
      <c r="X223" s="45">
        <v>0.002397</v>
      </c>
      <c r="Y223" s="45">
        <v>0.003384</v>
      </c>
      <c r="Z223" s="45">
        <v>0</v>
      </c>
      <c r="AA223" s="45">
        <v>0</v>
      </c>
      <c r="AB223" s="66">
        <v>223</v>
      </c>
      <c r="AC2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3" s="67"/>
      <c r="AE223" t="s">
        <v>1566</v>
      </c>
      <c r="AF223" s="74" t="s">
        <v>1808</v>
      </c>
      <c r="AG223">
        <v>592</v>
      </c>
      <c r="AH223">
        <v>122</v>
      </c>
      <c r="AI223">
        <v>6678</v>
      </c>
      <c r="AJ223">
        <v>2</v>
      </c>
      <c r="AK223">
        <v>1539</v>
      </c>
      <c r="AL223">
        <v>234</v>
      </c>
      <c r="AM223" t="b">
        <v>0</v>
      </c>
      <c r="AN223" s="73">
        <v>40666.23133101852</v>
      </c>
      <c r="AO223" t="s">
        <v>1949</v>
      </c>
      <c r="AP223" t="s">
        <v>2050</v>
      </c>
      <c r="AQ223" s="76" t="str">
        <f>HYPERLINK("https://t.co/qs2AvrArBF")</f>
        <v>https://t.co/qs2AvrArBF</v>
      </c>
      <c r="AR223" s="76" t="str">
        <f>HYPERLINK("https://twitter.com/yeni_ekawati")</f>
        <v>https://twitter.com/yeni_ekawati</v>
      </c>
      <c r="AS223" t="s">
        <v>2268</v>
      </c>
      <c r="AX223" s="76" t="str">
        <f>HYPERLINK("https://t.co/qs2AvrArBF")</f>
        <v>https://t.co/qs2AvrArBF</v>
      </c>
      <c r="AY223" t="b">
        <v>0</v>
      </c>
      <c r="BB223" t="b">
        <v>1</v>
      </c>
      <c r="BC223" t="b">
        <v>1</v>
      </c>
      <c r="BD223" t="b">
        <v>0</v>
      </c>
      <c r="BE223" t="b">
        <v>0</v>
      </c>
      <c r="BF223" t="b">
        <v>1</v>
      </c>
      <c r="BG223" t="b">
        <v>0</v>
      </c>
      <c r="BH223" t="b">
        <v>0</v>
      </c>
      <c r="BI223" s="76" t="str">
        <f>HYPERLINK("https://pbs.twimg.com/profile_banners/292148810/1391420267")</f>
        <v>https://pbs.twimg.com/profile_banners/292148810/1391420267</v>
      </c>
      <c r="BK223" t="s">
        <v>2344</v>
      </c>
      <c r="BL223" t="b">
        <v>0</v>
      </c>
      <c r="BN223" t="s">
        <v>66</v>
      </c>
      <c r="BO223" t="s">
        <v>2345</v>
      </c>
      <c r="BP223" s="76" t="str">
        <f>HYPERLINK("https://twitter.com/yeni_ekawati")</f>
        <v>https://twitter.com/yeni_ekawati</v>
      </c>
      <c r="BQ223" s="44"/>
      <c r="BR223" s="44"/>
      <c r="BS223" s="44"/>
      <c r="BT223" s="44"/>
      <c r="BU223" s="44"/>
      <c r="BV223" s="44"/>
      <c r="BW223" s="95" t="s">
        <v>11447</v>
      </c>
      <c r="BX223" s="95" t="s">
        <v>11447</v>
      </c>
      <c r="BY223" s="95" t="s">
        <v>2497</v>
      </c>
      <c r="BZ223" s="95" t="s">
        <v>2497</v>
      </c>
      <c r="CA223" s="95">
        <v>4</v>
      </c>
      <c r="CB223" s="98">
        <v>36.36363636363637</v>
      </c>
      <c r="CC223" s="95">
        <v>0</v>
      </c>
      <c r="CD223" s="98">
        <v>0</v>
      </c>
      <c r="CE223" s="95">
        <v>0</v>
      </c>
      <c r="CF223" s="98">
        <v>0</v>
      </c>
      <c r="CG223" s="95">
        <v>7</v>
      </c>
      <c r="CH223" s="98">
        <v>63.63636363636363</v>
      </c>
      <c r="CI223" s="95">
        <v>11</v>
      </c>
      <c r="CJ223" s="116" t="str">
        <f>REPLACE(INDEX(GroupVertices[Group],MATCH("~"&amp;Vertices[[#This Row],[Vertex]],GroupVertices[Vertex],0)),1,1,"")</f>
        <v>9</v>
      </c>
      <c r="CK223" s="95"/>
      <c r="CL223" s="95"/>
      <c r="CM223" s="95"/>
      <c r="CN223" s="95"/>
      <c r="CO223" s="2"/>
    </row>
    <row r="224" spans="1:93" ht="41.45" customHeight="1">
      <c r="A224" s="59" t="s">
        <v>298</v>
      </c>
      <c r="C224" s="60"/>
      <c r="D224" s="60" t="s">
        <v>64</v>
      </c>
      <c r="E224" s="61"/>
      <c r="F224" s="63"/>
      <c r="G224" s="92" t="str">
        <f>HYPERLINK("https://pbs.twimg.com/profile_images/1718130098682101760/x4AZLWQk_normal.jpg")</f>
        <v>https://pbs.twimg.com/profile_images/1718130098682101760/x4AZLWQk_normal.jpg</v>
      </c>
      <c r="H224" s="60"/>
      <c r="I224" s="64" t="str">
        <f>Vertices[[#This Row],[Vertex]]</f>
        <v>hermin165</v>
      </c>
      <c r="J224" s="65"/>
      <c r="K224" s="65"/>
      <c r="L224" s="64"/>
      <c r="M224" s="68"/>
      <c r="N224" s="69">
        <v>5396.41259765625</v>
      </c>
      <c r="O224" s="69">
        <v>3773.061279296875</v>
      </c>
      <c r="P224" s="70"/>
      <c r="Q224" s="71"/>
      <c r="R224" s="71"/>
      <c r="S224" s="78"/>
      <c r="T224" s="44">
        <v>0</v>
      </c>
      <c r="U224" s="44">
        <v>1</v>
      </c>
      <c r="V224" s="45">
        <v>0</v>
      </c>
      <c r="W224" s="45">
        <v>0.112154</v>
      </c>
      <c r="X224" s="45">
        <v>0.002397</v>
      </c>
      <c r="Y224" s="45">
        <v>0.003384</v>
      </c>
      <c r="Z224" s="45">
        <v>0</v>
      </c>
      <c r="AA224" s="45">
        <v>0</v>
      </c>
      <c r="AB224" s="66">
        <v>224</v>
      </c>
      <c r="AC2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4" s="67"/>
      <c r="AE224" t="s">
        <v>1738</v>
      </c>
      <c r="AF224" s="74" t="s">
        <v>1454</v>
      </c>
      <c r="AG224">
        <v>319</v>
      </c>
      <c r="AH224">
        <v>345</v>
      </c>
      <c r="AI224">
        <v>27721</v>
      </c>
      <c r="AJ224">
        <v>0</v>
      </c>
      <c r="AK224">
        <v>32848</v>
      </c>
      <c r="AL224">
        <v>37</v>
      </c>
      <c r="AM224" t="b">
        <v>0</v>
      </c>
      <c r="AN224" s="73">
        <v>43446.25809027778</v>
      </c>
      <c r="AO224" t="s">
        <v>996</v>
      </c>
      <c r="AP224" t="s">
        <v>2205</v>
      </c>
      <c r="AY224" t="b">
        <v>0</v>
      </c>
      <c r="BB224" t="b">
        <v>0</v>
      </c>
      <c r="BC224" t="b">
        <v>1</v>
      </c>
      <c r="BD224" t="b">
        <v>1</v>
      </c>
      <c r="BE224" t="b">
        <v>0</v>
      </c>
      <c r="BF224" t="b">
        <v>0</v>
      </c>
      <c r="BG224" t="b">
        <v>0</v>
      </c>
      <c r="BH224" t="b">
        <v>0</v>
      </c>
      <c r="BI224" s="76" t="str">
        <f>HYPERLINK("https://pbs.twimg.com/profile_banners/1072735712527572992/1697537833")</f>
        <v>https://pbs.twimg.com/profile_banners/1072735712527572992/1697537833</v>
      </c>
      <c r="BK224" t="s">
        <v>2343</v>
      </c>
      <c r="BL224" t="b">
        <v>0</v>
      </c>
      <c r="BN224" t="s">
        <v>66</v>
      </c>
      <c r="BO224" t="s">
        <v>2345</v>
      </c>
      <c r="BP224" s="76" t="str">
        <f>HYPERLINK("https://twitter.com/hermin165")</f>
        <v>https://twitter.com/hermin165</v>
      </c>
      <c r="BQ224" s="44"/>
      <c r="BR224" s="44"/>
      <c r="BS224" s="44"/>
      <c r="BT224" s="44"/>
      <c r="BU224" s="44" t="s">
        <v>682</v>
      </c>
      <c r="BV224" s="44" t="s">
        <v>682</v>
      </c>
      <c r="BW224" s="95" t="s">
        <v>11448</v>
      </c>
      <c r="BX224" s="95" t="s">
        <v>11448</v>
      </c>
      <c r="BY224" s="95" t="s">
        <v>2545</v>
      </c>
      <c r="BZ224" s="95" t="s">
        <v>2545</v>
      </c>
      <c r="CA224" s="95">
        <v>3</v>
      </c>
      <c r="CB224" s="98">
        <v>27.272727272727273</v>
      </c>
      <c r="CC224" s="95">
        <v>0</v>
      </c>
      <c r="CD224" s="98">
        <v>0</v>
      </c>
      <c r="CE224" s="95">
        <v>0</v>
      </c>
      <c r="CF224" s="98">
        <v>0</v>
      </c>
      <c r="CG224" s="95">
        <v>8</v>
      </c>
      <c r="CH224" s="98">
        <v>72.72727272727273</v>
      </c>
      <c r="CI224" s="95">
        <v>11</v>
      </c>
      <c r="CJ224" s="116" t="str">
        <f>REPLACE(INDEX(GroupVertices[Group],MATCH("~"&amp;Vertices[[#This Row],[Vertex]],GroupVertices[Vertex],0)),1,1,"")</f>
        <v>9</v>
      </c>
      <c r="CK224" s="95"/>
      <c r="CL224" s="95"/>
      <c r="CM224" s="95" t="s">
        <v>682</v>
      </c>
      <c r="CN224" s="95" t="s">
        <v>682</v>
      </c>
      <c r="CO224" s="2"/>
    </row>
    <row r="225" spans="1:93" ht="41.45" customHeight="1">
      <c r="A225" s="59" t="s">
        <v>240</v>
      </c>
      <c r="C225" s="60"/>
      <c r="D225" s="60" t="s">
        <v>64</v>
      </c>
      <c r="E225" s="61"/>
      <c r="F225" s="63"/>
      <c r="G225" s="92" t="str">
        <f>HYPERLINK("https://pbs.twimg.com/profile_images/1101616992027500545/zqfFjyzK_normal.jpg")</f>
        <v>https://pbs.twimg.com/profile_images/1101616992027500545/zqfFjyzK_normal.jpg</v>
      </c>
      <c r="H225" s="60"/>
      <c r="I225" s="64" t="str">
        <f>Vertices[[#This Row],[Vertex]]</f>
        <v>81calra</v>
      </c>
      <c r="J225" s="65"/>
      <c r="K225" s="65"/>
      <c r="L225" s="64"/>
      <c r="M225" s="68"/>
      <c r="N225" s="69">
        <v>4835.71044921875</v>
      </c>
      <c r="O225" s="69">
        <v>3231.3720703125</v>
      </c>
      <c r="P225" s="70"/>
      <c r="Q225" s="71"/>
      <c r="R225" s="71"/>
      <c r="S225" s="78"/>
      <c r="T225" s="44">
        <v>0</v>
      </c>
      <c r="U225" s="44">
        <v>1</v>
      </c>
      <c r="V225" s="45">
        <v>0</v>
      </c>
      <c r="W225" s="45">
        <v>0.112154</v>
      </c>
      <c r="X225" s="45">
        <v>0.002397</v>
      </c>
      <c r="Y225" s="45">
        <v>0.003384</v>
      </c>
      <c r="Z225" s="45">
        <v>0</v>
      </c>
      <c r="AA225" s="45">
        <v>0</v>
      </c>
      <c r="AB225" s="66">
        <v>225</v>
      </c>
      <c r="AC2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5" s="67"/>
      <c r="AE225" t="s">
        <v>1575</v>
      </c>
      <c r="AF225" s="74" t="s">
        <v>1414</v>
      </c>
      <c r="AG225">
        <v>213</v>
      </c>
      <c r="AH225">
        <v>734</v>
      </c>
      <c r="AI225">
        <v>8758</v>
      </c>
      <c r="AJ225">
        <v>0</v>
      </c>
      <c r="AK225">
        <v>12765</v>
      </c>
      <c r="AL225">
        <v>0</v>
      </c>
      <c r="AM225" t="b">
        <v>0</v>
      </c>
      <c r="AN225" s="73">
        <v>43524.65888888889</v>
      </c>
      <c r="AP225" t="s">
        <v>2057</v>
      </c>
      <c r="AY225" t="b">
        <v>0</v>
      </c>
      <c r="BB225" t="b">
        <v>0</v>
      </c>
      <c r="BC225" t="b">
        <v>1</v>
      </c>
      <c r="BD225" t="b">
        <v>1</v>
      </c>
      <c r="BE225" t="b">
        <v>0</v>
      </c>
      <c r="BF225" t="b">
        <v>1</v>
      </c>
      <c r="BG225" t="b">
        <v>0</v>
      </c>
      <c r="BH225" t="b">
        <v>0</v>
      </c>
      <c r="BK225" t="s">
        <v>2343</v>
      </c>
      <c r="BL225" t="b">
        <v>0</v>
      </c>
      <c r="BN225" t="s">
        <v>66</v>
      </c>
      <c r="BO225" t="s">
        <v>2345</v>
      </c>
      <c r="BP225" s="76" t="str">
        <f>HYPERLINK("https://twitter.com/81calra")</f>
        <v>https://twitter.com/81calra</v>
      </c>
      <c r="BQ225" s="44"/>
      <c r="BR225" s="44"/>
      <c r="BS225" s="44"/>
      <c r="BT225" s="44"/>
      <c r="BU225" s="44" t="s">
        <v>682</v>
      </c>
      <c r="BV225" s="44" t="s">
        <v>682</v>
      </c>
      <c r="BW225" s="95" t="s">
        <v>2437</v>
      </c>
      <c r="BX225" s="95" t="s">
        <v>2437</v>
      </c>
      <c r="BY225" s="95" t="s">
        <v>2501</v>
      </c>
      <c r="BZ225" s="95" t="s">
        <v>2501</v>
      </c>
      <c r="CA225" s="95">
        <v>1</v>
      </c>
      <c r="CB225" s="98">
        <v>33.333333333333336</v>
      </c>
      <c r="CC225" s="95">
        <v>0</v>
      </c>
      <c r="CD225" s="98">
        <v>0</v>
      </c>
      <c r="CE225" s="95">
        <v>0</v>
      </c>
      <c r="CF225" s="98">
        <v>0</v>
      </c>
      <c r="CG225" s="95">
        <v>2</v>
      </c>
      <c r="CH225" s="98">
        <v>66.66666666666667</v>
      </c>
      <c r="CI225" s="95">
        <v>3</v>
      </c>
      <c r="CJ225" s="116" t="str">
        <f>REPLACE(INDEX(GroupVertices[Group],MATCH("~"&amp;Vertices[[#This Row],[Vertex]],GroupVertices[Vertex],0)),1,1,"")</f>
        <v>9</v>
      </c>
      <c r="CK225" s="95"/>
      <c r="CL225" s="95"/>
      <c r="CM225" s="95" t="s">
        <v>682</v>
      </c>
      <c r="CN225" s="95" t="s">
        <v>682</v>
      </c>
      <c r="CO225" s="2"/>
    </row>
    <row r="226" spans="1:93" ht="41.45" customHeight="1">
      <c r="A226" s="59" t="s">
        <v>251</v>
      </c>
      <c r="C226" s="60"/>
      <c r="D226" s="60" t="s">
        <v>64</v>
      </c>
      <c r="E226" s="61"/>
      <c r="F226" s="63"/>
      <c r="G226" s="92" t="str">
        <f>HYPERLINK("https://abs.twimg.com/sticky/default_profile_images/default_profile_normal.png")</f>
        <v>https://abs.twimg.com/sticky/default_profile_images/default_profile_normal.png</v>
      </c>
      <c r="H226" s="60"/>
      <c r="I226" s="64" t="str">
        <f>Vertices[[#This Row],[Vertex]]</f>
        <v>umiyati70812108</v>
      </c>
      <c r="J226" s="65"/>
      <c r="K226" s="65"/>
      <c r="L226" s="64"/>
      <c r="M226" s="68"/>
      <c r="N226" s="69">
        <v>5470.54052734375</v>
      </c>
      <c r="O226" s="69">
        <v>2539.226318359375</v>
      </c>
      <c r="P226" s="70"/>
      <c r="Q226" s="71"/>
      <c r="R226" s="71"/>
      <c r="S226" s="78"/>
      <c r="T226" s="44">
        <v>0</v>
      </c>
      <c r="U226" s="44">
        <v>1</v>
      </c>
      <c r="V226" s="45">
        <v>0</v>
      </c>
      <c r="W226" s="45">
        <v>0.112154</v>
      </c>
      <c r="X226" s="45">
        <v>0.002397</v>
      </c>
      <c r="Y226" s="45">
        <v>0.003384</v>
      </c>
      <c r="Z226" s="45">
        <v>0</v>
      </c>
      <c r="AA226" s="45">
        <v>0</v>
      </c>
      <c r="AB226" s="66">
        <v>226</v>
      </c>
      <c r="AC2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6" s="67"/>
      <c r="AE226" t="s">
        <v>1602</v>
      </c>
      <c r="AF226" s="74" t="s">
        <v>1421</v>
      </c>
      <c r="AG226">
        <v>77</v>
      </c>
      <c r="AH226">
        <v>418</v>
      </c>
      <c r="AI226">
        <v>8084</v>
      </c>
      <c r="AJ226">
        <v>0</v>
      </c>
      <c r="AK226">
        <v>3769</v>
      </c>
      <c r="AL226">
        <v>6</v>
      </c>
      <c r="AM226" t="b">
        <v>0</v>
      </c>
      <c r="AN226" s="73">
        <v>44429.59275462963</v>
      </c>
      <c r="AO226" t="s">
        <v>1959</v>
      </c>
      <c r="AP226" t="s">
        <v>2081</v>
      </c>
      <c r="AY226" t="b">
        <v>0</v>
      </c>
      <c r="BB226" t="b">
        <v>0</v>
      </c>
      <c r="BC226" t="b">
        <v>1</v>
      </c>
      <c r="BD226" t="b">
        <v>1</v>
      </c>
      <c r="BE226" t="b">
        <v>1</v>
      </c>
      <c r="BF226" t="b">
        <v>0</v>
      </c>
      <c r="BG226" t="b">
        <v>0</v>
      </c>
      <c r="BH226" t="b">
        <v>0</v>
      </c>
      <c r="BK226" t="s">
        <v>2343</v>
      </c>
      <c r="BL226" t="b">
        <v>0</v>
      </c>
      <c r="BN226" t="s">
        <v>66</v>
      </c>
      <c r="BO226" t="s">
        <v>2345</v>
      </c>
      <c r="BP226" s="76" t="str">
        <f>HYPERLINK("https://twitter.com/umiyati70812108")</f>
        <v>https://twitter.com/umiyati70812108</v>
      </c>
      <c r="BQ226" s="44"/>
      <c r="BR226" s="44"/>
      <c r="BS226" s="44"/>
      <c r="BT226" s="44"/>
      <c r="BU226" s="44" t="s">
        <v>682</v>
      </c>
      <c r="BV226" s="44" t="s">
        <v>682</v>
      </c>
      <c r="BW226" s="95" t="s">
        <v>2442</v>
      </c>
      <c r="BX226" s="95" t="s">
        <v>2442</v>
      </c>
      <c r="BY226" s="95" t="s">
        <v>2511</v>
      </c>
      <c r="BZ226" s="95" t="s">
        <v>2511</v>
      </c>
      <c r="CA226" s="95">
        <v>0</v>
      </c>
      <c r="CB226" s="98">
        <v>0</v>
      </c>
      <c r="CC226" s="95">
        <v>0</v>
      </c>
      <c r="CD226" s="98">
        <v>0</v>
      </c>
      <c r="CE226" s="95">
        <v>0</v>
      </c>
      <c r="CF226" s="98">
        <v>0</v>
      </c>
      <c r="CG226" s="95">
        <v>2</v>
      </c>
      <c r="CH226" s="98">
        <v>100</v>
      </c>
      <c r="CI226" s="95">
        <v>2</v>
      </c>
      <c r="CJ226" s="116" t="str">
        <f>REPLACE(INDEX(GroupVertices[Group],MATCH("~"&amp;Vertices[[#This Row],[Vertex]],GroupVertices[Vertex],0)),1,1,"")</f>
        <v>9</v>
      </c>
      <c r="CK226" s="95"/>
      <c r="CL226" s="95"/>
      <c r="CM226" s="95" t="s">
        <v>682</v>
      </c>
      <c r="CN226" s="95" t="s">
        <v>682</v>
      </c>
      <c r="CO226" s="2"/>
    </row>
    <row r="227" spans="1:93" ht="41.45" customHeight="1">
      <c r="A227" s="59" t="s">
        <v>253</v>
      </c>
      <c r="C227" s="60"/>
      <c r="D227" s="60" t="s">
        <v>64</v>
      </c>
      <c r="E227" s="61"/>
      <c r="F227" s="63"/>
      <c r="G227" s="92" t="str">
        <f>HYPERLINK("https://pbs.twimg.com/profile_images/1528581114696126464/ncbask8T_normal.jpg")</f>
        <v>https://pbs.twimg.com/profile_images/1528581114696126464/ncbask8T_normal.jpg</v>
      </c>
      <c r="H227" s="60"/>
      <c r="I227" s="64" t="str">
        <f>Vertices[[#This Row],[Vertex]]</f>
        <v>elqtlqcri7fd9ng</v>
      </c>
      <c r="J227" s="65"/>
      <c r="K227" s="65"/>
      <c r="L227" s="64"/>
      <c r="M227" s="68"/>
      <c r="N227" s="69">
        <v>5203.1513671875</v>
      </c>
      <c r="O227" s="69">
        <v>4436.4951171875</v>
      </c>
      <c r="P227" s="70"/>
      <c r="Q227" s="71"/>
      <c r="R227" s="71"/>
      <c r="S227" s="78"/>
      <c r="T227" s="44">
        <v>0</v>
      </c>
      <c r="U227" s="44">
        <v>1</v>
      </c>
      <c r="V227" s="45">
        <v>0</v>
      </c>
      <c r="W227" s="45">
        <v>0.112154</v>
      </c>
      <c r="X227" s="45">
        <v>0.002397</v>
      </c>
      <c r="Y227" s="45">
        <v>0.003384</v>
      </c>
      <c r="Z227" s="45">
        <v>0</v>
      </c>
      <c r="AA227" s="45">
        <v>0</v>
      </c>
      <c r="AB227" s="66">
        <v>227</v>
      </c>
      <c r="AC2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7" s="67"/>
      <c r="AE227" t="s">
        <v>1604</v>
      </c>
      <c r="AF227" s="74" t="s">
        <v>1423</v>
      </c>
      <c r="AG227">
        <v>29</v>
      </c>
      <c r="AH227">
        <v>135</v>
      </c>
      <c r="AI227">
        <v>20</v>
      </c>
      <c r="AJ227">
        <v>0</v>
      </c>
      <c r="AK227">
        <v>133</v>
      </c>
      <c r="AL227">
        <v>0</v>
      </c>
      <c r="AM227" t="b">
        <v>0</v>
      </c>
      <c r="AN227" s="73">
        <v>42446.04377314815</v>
      </c>
      <c r="AO227" t="s">
        <v>1960</v>
      </c>
      <c r="AQ227" s="76" t="str">
        <f>HYPERLINK("https://t.co/Gf6IhkAIS5")</f>
        <v>https://t.co/Gf6IhkAIS5</v>
      </c>
      <c r="AR227" s="76" t="str">
        <f>HYPERLINK("http://multiprimaroof.id")</f>
        <v>http://multiprimaroof.id</v>
      </c>
      <c r="AS227" t="s">
        <v>2274</v>
      </c>
      <c r="AX227" s="76" t="str">
        <f>HYPERLINK("https://t.co/Gf6IhkAIS5")</f>
        <v>https://t.co/Gf6IhkAIS5</v>
      </c>
      <c r="AY227" t="b">
        <v>0</v>
      </c>
      <c r="BB227" t="b">
        <v>0</v>
      </c>
      <c r="BC227" t="b">
        <v>1</v>
      </c>
      <c r="BD227" t="b">
        <v>1</v>
      </c>
      <c r="BE227" t="b">
        <v>0</v>
      </c>
      <c r="BF227" t="b">
        <v>0</v>
      </c>
      <c r="BG227" t="b">
        <v>0</v>
      </c>
      <c r="BH227" t="b">
        <v>0</v>
      </c>
      <c r="BK227" t="s">
        <v>2343</v>
      </c>
      <c r="BL227" t="b">
        <v>0</v>
      </c>
      <c r="BN227" t="s">
        <v>66</v>
      </c>
      <c r="BO227" t="s">
        <v>2345</v>
      </c>
      <c r="BP227" s="76" t="str">
        <f>HYPERLINK("https://twitter.com/elqtlqcri7fd9ng")</f>
        <v>https://twitter.com/elqtlqcri7fd9ng</v>
      </c>
      <c r="BQ227" s="44"/>
      <c r="BR227" s="44"/>
      <c r="BS227" s="44"/>
      <c r="BT227" s="44"/>
      <c r="BU227" s="44"/>
      <c r="BV227" s="44"/>
      <c r="BW227" s="95" t="s">
        <v>11449</v>
      </c>
      <c r="BX227" s="95" t="s">
        <v>11449</v>
      </c>
      <c r="BY227" s="95" t="s">
        <v>2513</v>
      </c>
      <c r="BZ227" s="95" t="s">
        <v>2513</v>
      </c>
      <c r="CA227" s="95">
        <v>5</v>
      </c>
      <c r="CB227" s="98">
        <v>55.55555555555556</v>
      </c>
      <c r="CC227" s="95">
        <v>0</v>
      </c>
      <c r="CD227" s="98">
        <v>0</v>
      </c>
      <c r="CE227" s="95">
        <v>0</v>
      </c>
      <c r="CF227" s="98">
        <v>0</v>
      </c>
      <c r="CG227" s="95">
        <v>4</v>
      </c>
      <c r="CH227" s="98">
        <v>44.44444444444444</v>
      </c>
      <c r="CI227" s="95">
        <v>9</v>
      </c>
      <c r="CJ227" s="116" t="str">
        <f>REPLACE(INDEX(GroupVertices[Group],MATCH("~"&amp;Vertices[[#This Row],[Vertex]],GroupVertices[Vertex],0)),1,1,"")</f>
        <v>9</v>
      </c>
      <c r="CK227" s="95"/>
      <c r="CL227" s="95"/>
      <c r="CM227" s="95"/>
      <c r="CN227" s="95"/>
      <c r="CO227" s="2"/>
    </row>
    <row r="228" spans="1:93" ht="41.45" customHeight="1">
      <c r="A228" s="59" t="s">
        <v>255</v>
      </c>
      <c r="C228" s="60"/>
      <c r="D228" s="60" t="s">
        <v>64</v>
      </c>
      <c r="E228" s="61"/>
      <c r="F228" s="63"/>
      <c r="G228" s="92" t="str">
        <f>HYPERLINK("https://pbs.twimg.com/profile_images/1481051164146028546/BAtu7XbG_normal.jpg")</f>
        <v>https://pbs.twimg.com/profile_images/1481051164146028546/BAtu7XbG_normal.jpg</v>
      </c>
      <c r="H228" s="60"/>
      <c r="I228" s="64" t="str">
        <f>Vertices[[#This Row],[Vertex]]</f>
        <v>muhamma53050021</v>
      </c>
      <c r="J228" s="65"/>
      <c r="K228" s="65"/>
      <c r="L228" s="64"/>
      <c r="M228" s="68"/>
      <c r="N228" s="69">
        <v>5391.54052734375</v>
      </c>
      <c r="O228" s="69">
        <v>1317.457763671875</v>
      </c>
      <c r="P228" s="70"/>
      <c r="Q228" s="71"/>
      <c r="R228" s="71"/>
      <c r="S228" s="78"/>
      <c r="T228" s="44">
        <v>0</v>
      </c>
      <c r="U228" s="44">
        <v>1</v>
      </c>
      <c r="V228" s="45">
        <v>0</v>
      </c>
      <c r="W228" s="45">
        <v>0.112154</v>
      </c>
      <c r="X228" s="45">
        <v>0.002397</v>
      </c>
      <c r="Y228" s="45">
        <v>0.003384</v>
      </c>
      <c r="Z228" s="45">
        <v>0</v>
      </c>
      <c r="AA228" s="45">
        <v>0</v>
      </c>
      <c r="AB228" s="66">
        <v>228</v>
      </c>
      <c r="AC2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8" s="67"/>
      <c r="AE228" t="s">
        <v>1609</v>
      </c>
      <c r="AF228" s="74" t="s">
        <v>1425</v>
      </c>
      <c r="AG228">
        <v>1</v>
      </c>
      <c r="AH228">
        <v>56</v>
      </c>
      <c r="AI228">
        <v>24</v>
      </c>
      <c r="AJ228">
        <v>0</v>
      </c>
      <c r="AK228">
        <v>34</v>
      </c>
      <c r="AL228">
        <v>6</v>
      </c>
      <c r="AM228" t="b">
        <v>0</v>
      </c>
      <c r="AN228" s="73">
        <v>44563.68375</v>
      </c>
      <c r="AP228" t="s">
        <v>2086</v>
      </c>
      <c r="AY228" t="b">
        <v>0</v>
      </c>
      <c r="BB228" t="b">
        <v>0</v>
      </c>
      <c r="BC228" t="b">
        <v>1</v>
      </c>
      <c r="BD228" t="b">
        <v>1</v>
      </c>
      <c r="BE228" t="b">
        <v>0</v>
      </c>
      <c r="BF228" t="b">
        <v>0</v>
      </c>
      <c r="BG228" t="b">
        <v>0</v>
      </c>
      <c r="BH228" t="b">
        <v>0</v>
      </c>
      <c r="BK228" t="s">
        <v>2343</v>
      </c>
      <c r="BL228" t="b">
        <v>0</v>
      </c>
      <c r="BN228" t="s">
        <v>66</v>
      </c>
      <c r="BO228" t="s">
        <v>2345</v>
      </c>
      <c r="BP228" s="76" t="str">
        <f>HYPERLINK("https://twitter.com/muhamma53050021")</f>
        <v>https://twitter.com/muhamma53050021</v>
      </c>
      <c r="BQ228" s="44"/>
      <c r="BR228" s="44"/>
      <c r="BS228" s="44"/>
      <c r="BT228" s="44"/>
      <c r="BU228" s="44" t="s">
        <v>682</v>
      </c>
      <c r="BV228" s="44" t="s">
        <v>682</v>
      </c>
      <c r="BW228" s="95" t="s">
        <v>2442</v>
      </c>
      <c r="BX228" s="95" t="s">
        <v>2442</v>
      </c>
      <c r="BY228" s="95" t="s">
        <v>2511</v>
      </c>
      <c r="BZ228" s="95" t="s">
        <v>2511</v>
      </c>
      <c r="CA228" s="95">
        <v>0</v>
      </c>
      <c r="CB228" s="98">
        <v>0</v>
      </c>
      <c r="CC228" s="95">
        <v>0</v>
      </c>
      <c r="CD228" s="98">
        <v>0</v>
      </c>
      <c r="CE228" s="95">
        <v>0</v>
      </c>
      <c r="CF228" s="98">
        <v>0</v>
      </c>
      <c r="CG228" s="95">
        <v>2</v>
      </c>
      <c r="CH228" s="98">
        <v>100</v>
      </c>
      <c r="CI228" s="95">
        <v>2</v>
      </c>
      <c r="CJ228" s="116" t="str">
        <f>REPLACE(INDEX(GroupVertices[Group],MATCH("~"&amp;Vertices[[#This Row],[Vertex]],GroupVertices[Vertex],0)),1,1,"")</f>
        <v>9</v>
      </c>
      <c r="CK228" s="95"/>
      <c r="CL228" s="95"/>
      <c r="CM228" s="95" t="s">
        <v>682</v>
      </c>
      <c r="CN228" s="95" t="s">
        <v>682</v>
      </c>
      <c r="CO228" s="2"/>
    </row>
    <row r="229" spans="1:93" ht="41.45" customHeight="1">
      <c r="A229" s="59" t="s">
        <v>242</v>
      </c>
      <c r="C229" s="60"/>
      <c r="D229" s="60" t="s">
        <v>64</v>
      </c>
      <c r="E229" s="61"/>
      <c r="F229" s="63"/>
      <c r="G229" s="92" t="str">
        <f>HYPERLINK("https://pbs.twimg.com/profile_images/1296768117436121088/Flj7WTWI_normal.jpg")</f>
        <v>https://pbs.twimg.com/profile_images/1296768117436121088/Flj7WTWI_normal.jpg</v>
      </c>
      <c r="H229" s="60"/>
      <c r="I229" s="64" t="str">
        <f>Vertices[[#This Row],[Vertex]]</f>
        <v>arif_hakim86</v>
      </c>
      <c r="J229" s="65"/>
      <c r="K229" s="65"/>
      <c r="L229" s="64"/>
      <c r="M229" s="68"/>
      <c r="N229" s="69">
        <v>2970.7939453125</v>
      </c>
      <c r="O229" s="69">
        <v>2958.98046875</v>
      </c>
      <c r="P229" s="70"/>
      <c r="Q229" s="71"/>
      <c r="R229" s="71"/>
      <c r="S229" s="78"/>
      <c r="T229" s="44">
        <v>0</v>
      </c>
      <c r="U229" s="44">
        <v>1</v>
      </c>
      <c r="V229" s="45">
        <v>0</v>
      </c>
      <c r="W229" s="45">
        <v>0.101264</v>
      </c>
      <c r="X229" s="45">
        <v>0.000298</v>
      </c>
      <c r="Y229" s="45">
        <v>0.003577</v>
      </c>
      <c r="Z229" s="45">
        <v>0</v>
      </c>
      <c r="AA229" s="45">
        <v>0</v>
      </c>
      <c r="AB229" s="66">
        <v>229</v>
      </c>
      <c r="AC2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9" s="67"/>
      <c r="AE229" t="s">
        <v>1577</v>
      </c>
      <c r="AF229" s="74" t="s">
        <v>1811</v>
      </c>
      <c r="AG229">
        <v>400</v>
      </c>
      <c r="AH229">
        <v>538</v>
      </c>
      <c r="AI229">
        <v>5935</v>
      </c>
      <c r="AJ229">
        <v>0</v>
      </c>
      <c r="AK229">
        <v>6931</v>
      </c>
      <c r="AL229">
        <v>17</v>
      </c>
      <c r="AM229" t="b">
        <v>0</v>
      </c>
      <c r="AN229" s="73">
        <v>40366.72630787037</v>
      </c>
      <c r="AO229" t="s">
        <v>1952</v>
      </c>
      <c r="AP229" t="s">
        <v>2059</v>
      </c>
      <c r="AY229" t="b">
        <v>0</v>
      </c>
      <c r="BB229" t="b">
        <v>0</v>
      </c>
      <c r="BC229" t="b">
        <v>1</v>
      </c>
      <c r="BD229" t="b">
        <v>0</v>
      </c>
      <c r="BE229" t="b">
        <v>0</v>
      </c>
      <c r="BF229" t="b">
        <v>1</v>
      </c>
      <c r="BG229" t="b">
        <v>0</v>
      </c>
      <c r="BH229" t="b">
        <v>0</v>
      </c>
      <c r="BI229" s="76" t="str">
        <f>HYPERLINK("https://pbs.twimg.com/profile_banners/163947327/1609401348")</f>
        <v>https://pbs.twimg.com/profile_banners/163947327/1609401348</v>
      </c>
      <c r="BK229" t="s">
        <v>2343</v>
      </c>
      <c r="BL229" t="b">
        <v>0</v>
      </c>
      <c r="BN229" t="s">
        <v>66</v>
      </c>
      <c r="BO229" t="s">
        <v>2345</v>
      </c>
      <c r="BP229" s="76" t="str">
        <f>HYPERLINK("https://twitter.com/arif_hakim86")</f>
        <v>https://twitter.com/arif_hakim86</v>
      </c>
      <c r="BQ229" s="44" t="s">
        <v>3245</v>
      </c>
      <c r="BR229" s="44" t="s">
        <v>3245</v>
      </c>
      <c r="BS229" s="44" t="s">
        <v>711</v>
      </c>
      <c r="BT229" s="44" t="s">
        <v>711</v>
      </c>
      <c r="BU229" s="44"/>
      <c r="BV229" s="44"/>
      <c r="BW229" s="95" t="s">
        <v>11450</v>
      </c>
      <c r="BX229" s="95" t="s">
        <v>11450</v>
      </c>
      <c r="BY229" s="95" t="s">
        <v>2503</v>
      </c>
      <c r="BZ229" s="95" t="s">
        <v>2503</v>
      </c>
      <c r="CA229" s="95">
        <v>4</v>
      </c>
      <c r="CB229" s="98">
        <v>28.571428571428573</v>
      </c>
      <c r="CC229" s="95">
        <v>0</v>
      </c>
      <c r="CD229" s="98">
        <v>0</v>
      </c>
      <c r="CE229" s="95">
        <v>0</v>
      </c>
      <c r="CF229" s="98">
        <v>0</v>
      </c>
      <c r="CG229" s="95">
        <v>10</v>
      </c>
      <c r="CH229" s="98">
        <v>71.42857142857143</v>
      </c>
      <c r="CI229" s="95">
        <v>14</v>
      </c>
      <c r="CJ229" s="116" t="str">
        <f>REPLACE(INDEX(GroupVertices[Group],MATCH("~"&amp;Vertices[[#This Row],[Vertex]],GroupVertices[Vertex],0)),1,1,"")</f>
        <v>6</v>
      </c>
      <c r="CK229" s="95" t="s">
        <v>3245</v>
      </c>
      <c r="CL229" s="95" t="s">
        <v>3245</v>
      </c>
      <c r="CM229" s="95"/>
      <c r="CN229" s="95"/>
      <c r="CO229" s="2"/>
    </row>
    <row r="230" spans="1:93" ht="41.45" customHeight="1">
      <c r="A230" s="59" t="s">
        <v>260</v>
      </c>
      <c r="C230" s="60"/>
      <c r="D230" s="60" t="s">
        <v>64</v>
      </c>
      <c r="E230" s="61"/>
      <c r="F230" s="63"/>
      <c r="G230" s="92" t="str">
        <f>HYPERLINK("https://pbs.twimg.com/profile_images/1345422152057593861/mIjaY78H_normal.jpg")</f>
        <v>https://pbs.twimg.com/profile_images/1345422152057593861/mIjaY78H_normal.jpg</v>
      </c>
      <c r="H230" s="60"/>
      <c r="I230" s="64" t="str">
        <f>Vertices[[#This Row],[Vertex]]</f>
        <v>lautpaku</v>
      </c>
      <c r="J230" s="65"/>
      <c r="K230" s="65"/>
      <c r="L230" s="64"/>
      <c r="M230" s="68"/>
      <c r="N230" s="69">
        <v>5631.1259765625</v>
      </c>
      <c r="O230" s="69">
        <v>6891.20361328125</v>
      </c>
      <c r="P230" s="70"/>
      <c r="Q230" s="71"/>
      <c r="R230" s="71"/>
      <c r="S230" s="78"/>
      <c r="T230" s="44">
        <v>0</v>
      </c>
      <c r="U230" s="44">
        <v>1</v>
      </c>
      <c r="V230" s="45">
        <v>0</v>
      </c>
      <c r="W230" s="45">
        <v>0.08584</v>
      </c>
      <c r="X230" s="45">
        <v>8.6E-05</v>
      </c>
      <c r="Y230" s="45">
        <v>0.00349</v>
      </c>
      <c r="Z230" s="45">
        <v>0</v>
      </c>
      <c r="AA230" s="45">
        <v>0</v>
      </c>
      <c r="AB230" s="66">
        <v>230</v>
      </c>
      <c r="AC2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0" s="67"/>
      <c r="AE230" t="s">
        <v>1619</v>
      </c>
      <c r="AF230" s="74" t="s">
        <v>1429</v>
      </c>
      <c r="AG230">
        <v>120</v>
      </c>
      <c r="AH230">
        <v>589</v>
      </c>
      <c r="AI230">
        <v>14030</v>
      </c>
      <c r="AJ230">
        <v>0</v>
      </c>
      <c r="AK230">
        <v>2130</v>
      </c>
      <c r="AL230">
        <v>1120</v>
      </c>
      <c r="AM230" t="b">
        <v>0</v>
      </c>
      <c r="AN230" s="73">
        <v>43769.06108796296</v>
      </c>
      <c r="AP230" t="s">
        <v>2096</v>
      </c>
      <c r="AY230" t="b">
        <v>0</v>
      </c>
      <c r="BB230" t="b">
        <v>0</v>
      </c>
      <c r="BC230" t="b">
        <v>1</v>
      </c>
      <c r="BD230" t="b">
        <v>1</v>
      </c>
      <c r="BE230" t="b">
        <v>0</v>
      </c>
      <c r="BF230" t="b">
        <v>0</v>
      </c>
      <c r="BG230" t="b">
        <v>0</v>
      </c>
      <c r="BH230" t="b">
        <v>0</v>
      </c>
      <c r="BI230" s="76" t="str">
        <f>HYPERLINK("https://pbs.twimg.com/profile_banners/1189715504530722816/1608246022")</f>
        <v>https://pbs.twimg.com/profile_banners/1189715504530722816/1608246022</v>
      </c>
      <c r="BK230" t="s">
        <v>2343</v>
      </c>
      <c r="BL230" t="b">
        <v>0</v>
      </c>
      <c r="BN230" t="s">
        <v>66</v>
      </c>
      <c r="BO230" t="s">
        <v>2345</v>
      </c>
      <c r="BP230" s="76" t="str">
        <f>HYPERLINK("https://twitter.com/lautpaku")</f>
        <v>https://twitter.com/lautpaku</v>
      </c>
      <c r="BQ230" s="44"/>
      <c r="BR230" s="44"/>
      <c r="BS230" s="44"/>
      <c r="BT230" s="44"/>
      <c r="BU230" s="44"/>
      <c r="BV230" s="44"/>
      <c r="BW230" s="95" t="s">
        <v>11451</v>
      </c>
      <c r="BX230" s="95" t="s">
        <v>11451</v>
      </c>
      <c r="BY230" s="95" t="s">
        <v>3452</v>
      </c>
      <c r="BZ230" s="95" t="s">
        <v>3452</v>
      </c>
      <c r="CA230" s="95">
        <v>4</v>
      </c>
      <c r="CB230" s="98">
        <v>26.666666666666668</v>
      </c>
      <c r="CC230" s="95">
        <v>0</v>
      </c>
      <c r="CD230" s="98">
        <v>0</v>
      </c>
      <c r="CE230" s="95">
        <v>0</v>
      </c>
      <c r="CF230" s="98">
        <v>0</v>
      </c>
      <c r="CG230" s="95">
        <v>11</v>
      </c>
      <c r="CH230" s="98">
        <v>73.33333333333333</v>
      </c>
      <c r="CI230" s="95">
        <v>15</v>
      </c>
      <c r="CJ230" s="116" t="str">
        <f>REPLACE(INDEX(GroupVertices[Group],MATCH("~"&amp;Vertices[[#This Row],[Vertex]],GroupVertices[Vertex],0)),1,1,"")</f>
        <v>12</v>
      </c>
      <c r="CK230" s="95"/>
      <c r="CL230" s="95"/>
      <c r="CM230" s="95"/>
      <c r="CN230" s="95"/>
      <c r="CO230" s="2"/>
    </row>
    <row r="231" spans="1:93" ht="41.45" customHeight="1">
      <c r="A231" s="59" t="s">
        <v>250</v>
      </c>
      <c r="C231" s="60"/>
      <c r="D231" s="60" t="s">
        <v>64</v>
      </c>
      <c r="E231" s="61"/>
      <c r="F231" s="63"/>
      <c r="G231" s="92" t="str">
        <f>HYPERLINK("https://pbs.twimg.com/profile_images/1470910063833325571/6cmTQS5x_normal.jpg")</f>
        <v>https://pbs.twimg.com/profile_images/1470910063833325571/6cmTQS5x_normal.jpg</v>
      </c>
      <c r="H231" s="60"/>
      <c r="I231" s="64" t="str">
        <f>Vertices[[#This Row],[Vertex]]</f>
        <v>fachniadin</v>
      </c>
      <c r="J231" s="65"/>
      <c r="K231" s="65"/>
      <c r="L231" s="64"/>
      <c r="M231" s="68"/>
      <c r="N231" s="69">
        <v>5160.6513671875</v>
      </c>
      <c r="O231" s="69">
        <v>7174.884765625</v>
      </c>
      <c r="P231" s="70"/>
      <c r="Q231" s="71"/>
      <c r="R231" s="71"/>
      <c r="S231" s="78"/>
      <c r="T231" s="44">
        <v>0</v>
      </c>
      <c r="U231" s="44">
        <v>10</v>
      </c>
      <c r="V231" s="45">
        <v>90</v>
      </c>
      <c r="W231" s="45">
        <v>0.03876</v>
      </c>
      <c r="X231" s="45">
        <v>0</v>
      </c>
      <c r="Y231" s="45">
        <v>0.008394</v>
      </c>
      <c r="Z231" s="45">
        <v>0</v>
      </c>
      <c r="AA231" s="45">
        <v>0</v>
      </c>
      <c r="AB231" s="66">
        <v>231</v>
      </c>
      <c r="AC2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1" s="67"/>
      <c r="AE231" t="s">
        <v>1591</v>
      </c>
      <c r="AF231" s="74" t="s">
        <v>1420</v>
      </c>
      <c r="AG231">
        <v>51</v>
      </c>
      <c r="AH231">
        <v>68</v>
      </c>
      <c r="AI231">
        <v>6680</v>
      </c>
      <c r="AJ231">
        <v>0</v>
      </c>
      <c r="AK231">
        <v>4806</v>
      </c>
      <c r="AL231">
        <v>1064</v>
      </c>
      <c r="AM231" t="b">
        <v>0</v>
      </c>
      <c r="AN231" s="73">
        <v>43583.63953703704</v>
      </c>
      <c r="AY231" t="b">
        <v>0</v>
      </c>
      <c r="BB231" t="b">
        <v>0</v>
      </c>
      <c r="BC231" t="b">
        <v>1</v>
      </c>
      <c r="BD231" t="b">
        <v>1</v>
      </c>
      <c r="BE231" t="b">
        <v>0</v>
      </c>
      <c r="BF231" t="b">
        <v>1</v>
      </c>
      <c r="BG231" t="b">
        <v>0</v>
      </c>
      <c r="BH231" t="b">
        <v>0</v>
      </c>
      <c r="BK231" t="s">
        <v>2343</v>
      </c>
      <c r="BL231" t="b">
        <v>0</v>
      </c>
      <c r="BN231" t="s">
        <v>66</v>
      </c>
      <c r="BO231" t="s">
        <v>2345</v>
      </c>
      <c r="BP231" s="76" t="str">
        <f>HYPERLINK("https://twitter.com/fachniadin")</f>
        <v>https://twitter.com/fachniadin</v>
      </c>
      <c r="BQ231" s="44"/>
      <c r="BR231" s="44"/>
      <c r="BS231" s="44"/>
      <c r="BT231" s="44"/>
      <c r="BU231" s="44"/>
      <c r="BV231" s="44"/>
      <c r="BW231" s="95" t="s">
        <v>3478</v>
      </c>
      <c r="BX231" s="95" t="s">
        <v>11481</v>
      </c>
      <c r="BY231" s="95" t="s">
        <v>2510</v>
      </c>
      <c r="BZ231" s="95" t="s">
        <v>2581</v>
      </c>
      <c r="CA231" s="95">
        <v>24</v>
      </c>
      <c r="CB231" s="98">
        <v>26.08695652173913</v>
      </c>
      <c r="CC231" s="95">
        <v>3</v>
      </c>
      <c r="CD231" s="98">
        <v>3.260869565217391</v>
      </c>
      <c r="CE231" s="95">
        <v>0</v>
      </c>
      <c r="CF231" s="98">
        <v>0</v>
      </c>
      <c r="CG231" s="95">
        <v>65</v>
      </c>
      <c r="CH231" s="98">
        <v>70.65217391304348</v>
      </c>
      <c r="CI231" s="95">
        <v>92</v>
      </c>
      <c r="CJ231" s="116" t="str">
        <f>REPLACE(INDEX(GroupVertices[Group],MATCH("~"&amp;Vertices[[#This Row],[Vertex]],GroupVertices[Vertex],0)),1,1,"")</f>
        <v>7</v>
      </c>
      <c r="CK231" s="95"/>
      <c r="CL231" s="95"/>
      <c r="CM231" s="95"/>
      <c r="CN231" s="95"/>
      <c r="CO231" s="2"/>
    </row>
    <row r="232" spans="1:93" ht="41.45" customHeight="1">
      <c r="A232" s="59" t="s">
        <v>317</v>
      </c>
      <c r="C232" s="60"/>
      <c r="D232" s="60" t="s">
        <v>64</v>
      </c>
      <c r="E232" s="61"/>
      <c r="F232" s="63"/>
      <c r="G232" s="92" t="str">
        <f>HYPERLINK("https://pbs.twimg.com/profile_images/1439178090400256007/QzRHU2t-_normal.jpg")</f>
        <v>https://pbs.twimg.com/profile_images/1439178090400256007/QzRHU2t-_normal.jpg</v>
      </c>
      <c r="H232" s="60"/>
      <c r="I232" s="64" t="str">
        <f>Vertices[[#This Row],[Vertex]]</f>
        <v>naylaazkiaa</v>
      </c>
      <c r="J232" s="65"/>
      <c r="K232" s="65"/>
      <c r="L232" s="64"/>
      <c r="M232" s="68"/>
      <c r="N232" s="69">
        <v>6995.92333984375</v>
      </c>
      <c r="O232" s="69">
        <v>1824.7515869140625</v>
      </c>
      <c r="P232" s="70"/>
      <c r="Q232" s="71"/>
      <c r="R232" s="71"/>
      <c r="S232" s="78"/>
      <c r="T232" s="44">
        <v>0</v>
      </c>
      <c r="U232" s="44">
        <v>6</v>
      </c>
      <c r="V232" s="45">
        <v>30</v>
      </c>
      <c r="W232" s="45">
        <v>0.023256</v>
      </c>
      <c r="X232" s="45">
        <v>0</v>
      </c>
      <c r="Y232" s="45">
        <v>0.006379</v>
      </c>
      <c r="Z232" s="45">
        <v>0</v>
      </c>
      <c r="AA232" s="45">
        <v>0</v>
      </c>
      <c r="AB232" s="66">
        <v>232</v>
      </c>
      <c r="AC2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2" s="67"/>
      <c r="AE232" t="s">
        <v>1759</v>
      </c>
      <c r="AF232" s="74" t="s">
        <v>1467</v>
      </c>
      <c r="AG232">
        <v>7445</v>
      </c>
      <c r="AH232">
        <v>4242</v>
      </c>
      <c r="AI232">
        <v>34728</v>
      </c>
      <c r="AJ232">
        <v>1</v>
      </c>
      <c r="AK232">
        <v>50805</v>
      </c>
      <c r="AL232">
        <v>1368</v>
      </c>
      <c r="AM232" t="b">
        <v>0</v>
      </c>
      <c r="AN232" s="73">
        <v>44027.24120370371</v>
      </c>
      <c r="AO232" t="s">
        <v>2005</v>
      </c>
      <c r="AP232" t="s">
        <v>2224</v>
      </c>
      <c r="AW232">
        <v>1.34318947149633E+18</v>
      </c>
      <c r="AY232" t="b">
        <v>0</v>
      </c>
      <c r="BB232" t="b">
        <v>0</v>
      </c>
      <c r="BC232" t="b">
        <v>0</v>
      </c>
      <c r="BD232" t="b">
        <v>1</v>
      </c>
      <c r="BE232" t="b">
        <v>0</v>
      </c>
      <c r="BF232" t="b">
        <v>1</v>
      </c>
      <c r="BG232" t="b">
        <v>0</v>
      </c>
      <c r="BH232" t="b">
        <v>0</v>
      </c>
      <c r="BI232" s="76" t="str">
        <f>HYPERLINK("https://pbs.twimg.com/profile_banners/1283276851662602240/1607921097")</f>
        <v>https://pbs.twimg.com/profile_banners/1283276851662602240/1607921097</v>
      </c>
      <c r="BK232" t="s">
        <v>2343</v>
      </c>
      <c r="BL232" t="b">
        <v>0</v>
      </c>
      <c r="BN232" t="s">
        <v>66</v>
      </c>
      <c r="BO232" t="s">
        <v>2345</v>
      </c>
      <c r="BP232" s="76" t="str">
        <f>HYPERLINK("https://twitter.com/naylaazkiaa")</f>
        <v>https://twitter.com/naylaazkiaa</v>
      </c>
      <c r="BQ232" s="44"/>
      <c r="BR232" s="44"/>
      <c r="BS232" s="44"/>
      <c r="BT232" s="44"/>
      <c r="BU232" s="44"/>
      <c r="BV232" s="44"/>
      <c r="BW232" s="95" t="s">
        <v>2462</v>
      </c>
      <c r="BX232" s="95" t="s">
        <v>2462</v>
      </c>
      <c r="BY232" s="95" t="s">
        <v>2561</v>
      </c>
      <c r="BZ232" s="95" t="s">
        <v>2561</v>
      </c>
      <c r="CA232" s="95">
        <v>6</v>
      </c>
      <c r="CB232" s="98">
        <v>17.142857142857142</v>
      </c>
      <c r="CC232" s="95">
        <v>0</v>
      </c>
      <c r="CD232" s="98">
        <v>0</v>
      </c>
      <c r="CE232" s="95">
        <v>0</v>
      </c>
      <c r="CF232" s="98">
        <v>0</v>
      </c>
      <c r="CG232" s="95">
        <v>29</v>
      </c>
      <c r="CH232" s="98">
        <v>82.85714285714286</v>
      </c>
      <c r="CI232" s="95">
        <v>35</v>
      </c>
      <c r="CJ232" s="116" t="str">
        <f>REPLACE(INDEX(GroupVertices[Group],MATCH("~"&amp;Vertices[[#This Row],[Vertex]],GroupVertices[Vertex],0)),1,1,"")</f>
        <v>14</v>
      </c>
      <c r="CK232" s="95"/>
      <c r="CL232" s="95"/>
      <c r="CM232" s="95"/>
      <c r="CN232" s="95"/>
      <c r="CO232" s="2"/>
    </row>
    <row r="233" spans="1:93" ht="41.45" customHeight="1">
      <c r="A233" s="59" t="s">
        <v>275</v>
      </c>
      <c r="C233" s="60"/>
      <c r="D233" s="60" t="s">
        <v>64</v>
      </c>
      <c r="E233" s="61"/>
      <c r="F233" s="63"/>
      <c r="G233" s="92" t="str">
        <f>HYPERLINK("https://pbs.twimg.com/profile_images/1728903111551647744/X7Of6-hz_normal.jpg")</f>
        <v>https://pbs.twimg.com/profile_images/1728903111551647744/X7Of6-hz_normal.jpg</v>
      </c>
      <c r="H233" s="60"/>
      <c r="I233" s="64" t="str">
        <f>Vertices[[#This Row],[Vertex]]</f>
        <v>enirositaa</v>
      </c>
      <c r="J233" s="65"/>
      <c r="K233" s="65"/>
      <c r="L233" s="64"/>
      <c r="M233" s="68"/>
      <c r="N233" s="69">
        <v>6913.16455078125</v>
      </c>
      <c r="O233" s="69">
        <v>4602.83740234375</v>
      </c>
      <c r="P233" s="70"/>
      <c r="Q233" s="71"/>
      <c r="R233" s="71"/>
      <c r="S233" s="78"/>
      <c r="T233" s="44">
        <v>0</v>
      </c>
      <c r="U233" s="44">
        <v>3</v>
      </c>
      <c r="V233" s="45">
        <v>22</v>
      </c>
      <c r="W233" s="45">
        <v>0.013953</v>
      </c>
      <c r="X233" s="45">
        <v>0</v>
      </c>
      <c r="Y233" s="45">
        <v>0.004396</v>
      </c>
      <c r="Z233" s="45">
        <v>0</v>
      </c>
      <c r="AA233" s="45">
        <v>0</v>
      </c>
      <c r="AB233" s="66">
        <v>233</v>
      </c>
      <c r="AC2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3" s="67"/>
      <c r="AE233" t="s">
        <v>1652</v>
      </c>
      <c r="AF233" s="74" t="s">
        <v>1842</v>
      </c>
      <c r="AG233">
        <v>1517</v>
      </c>
      <c r="AH233">
        <v>1617</v>
      </c>
      <c r="AI233">
        <v>10019</v>
      </c>
      <c r="AJ233">
        <v>0</v>
      </c>
      <c r="AK233">
        <v>192519</v>
      </c>
      <c r="AL233">
        <v>734</v>
      </c>
      <c r="AM233" t="b">
        <v>0</v>
      </c>
      <c r="AN233" s="73">
        <v>40910.81756944444</v>
      </c>
      <c r="AO233" t="s">
        <v>996</v>
      </c>
      <c r="AW233">
        <v>1.58863964066351E+18</v>
      </c>
      <c r="AY233" t="b">
        <v>0</v>
      </c>
      <c r="BB233" t="b">
        <v>0</v>
      </c>
      <c r="BC233" t="b">
        <v>1</v>
      </c>
      <c r="BD233" t="b">
        <v>0</v>
      </c>
      <c r="BE233" t="b">
        <v>0</v>
      </c>
      <c r="BF233" t="b">
        <v>0</v>
      </c>
      <c r="BG233" t="b">
        <v>0</v>
      </c>
      <c r="BH233" t="b">
        <v>0</v>
      </c>
      <c r="BI233" s="76" t="str">
        <f>HYPERLINK("https://pbs.twimg.com/profile_banners/453291086/1544695532")</f>
        <v>https://pbs.twimg.com/profile_banners/453291086/1544695532</v>
      </c>
      <c r="BK233" t="s">
        <v>2343</v>
      </c>
      <c r="BL233" t="b">
        <v>0</v>
      </c>
      <c r="BN233" t="s">
        <v>66</v>
      </c>
      <c r="BO233" t="s">
        <v>2345</v>
      </c>
      <c r="BP233" s="76" t="str">
        <f>HYPERLINK("https://twitter.com/enirositaa")</f>
        <v>https://twitter.com/enirositaa</v>
      </c>
      <c r="BQ233" s="44"/>
      <c r="BR233" s="44"/>
      <c r="BS233" s="44"/>
      <c r="BT233" s="44"/>
      <c r="BU233" s="44" t="s">
        <v>682</v>
      </c>
      <c r="BV233" s="44" t="s">
        <v>682</v>
      </c>
      <c r="BW233" s="95" t="s">
        <v>2446</v>
      </c>
      <c r="BX233" s="95" t="s">
        <v>2475</v>
      </c>
      <c r="BY233" s="95" t="s">
        <v>2527</v>
      </c>
      <c r="BZ233" s="95" t="s">
        <v>2527</v>
      </c>
      <c r="CA233" s="95">
        <v>0</v>
      </c>
      <c r="CB233" s="98">
        <v>0</v>
      </c>
      <c r="CC233" s="95">
        <v>0</v>
      </c>
      <c r="CD233" s="98">
        <v>0</v>
      </c>
      <c r="CE233" s="95">
        <v>0</v>
      </c>
      <c r="CF233" s="98">
        <v>0</v>
      </c>
      <c r="CG233" s="95">
        <v>6</v>
      </c>
      <c r="CH233" s="98">
        <v>100</v>
      </c>
      <c r="CI233" s="95">
        <v>6</v>
      </c>
      <c r="CJ233" s="116" t="str">
        <f>REPLACE(INDEX(GroupVertices[Group],MATCH("~"&amp;Vertices[[#This Row],[Vertex]],GroupVertices[Vertex],0)),1,1,"")</f>
        <v>15</v>
      </c>
      <c r="CK233" s="95"/>
      <c r="CL233" s="95"/>
      <c r="CM233" s="95" t="s">
        <v>682</v>
      </c>
      <c r="CN233" s="95" t="s">
        <v>682</v>
      </c>
      <c r="CO233" s="2"/>
    </row>
    <row r="234" spans="1:93" ht="41.45" customHeight="1">
      <c r="A234" s="59" t="s">
        <v>249</v>
      </c>
      <c r="C234" s="60"/>
      <c r="D234" s="60" t="s">
        <v>64</v>
      </c>
      <c r="E234" s="61"/>
      <c r="F234" s="63"/>
      <c r="G234" s="92" t="str">
        <f>HYPERLINK("https://pbs.twimg.com/profile_images/1575596889302437889/b83mKM9D_normal.jpg")</f>
        <v>https://pbs.twimg.com/profile_images/1575596889302437889/b83mKM9D_normal.jpg</v>
      </c>
      <c r="H234" s="60"/>
      <c r="I234" s="64" t="str">
        <f>Vertices[[#This Row],[Vertex]]</f>
        <v>harianto_zanuar</v>
      </c>
      <c r="J234" s="65"/>
      <c r="K234" s="65"/>
      <c r="L234" s="64"/>
      <c r="M234" s="68"/>
      <c r="N234" s="69">
        <v>7679.255859375</v>
      </c>
      <c r="O234" s="69">
        <v>8040.4228515625</v>
      </c>
      <c r="P234" s="70"/>
      <c r="Q234" s="71"/>
      <c r="R234" s="71"/>
      <c r="S234" s="78"/>
      <c r="T234" s="44">
        <v>0</v>
      </c>
      <c r="U234" s="44">
        <v>3</v>
      </c>
      <c r="V234" s="45">
        <v>10</v>
      </c>
      <c r="W234" s="45">
        <v>0.012403</v>
      </c>
      <c r="X234" s="45">
        <v>0</v>
      </c>
      <c r="Y234" s="45">
        <v>0.00464</v>
      </c>
      <c r="Z234" s="45">
        <v>0</v>
      </c>
      <c r="AA234" s="45">
        <v>0</v>
      </c>
      <c r="AB234" s="66">
        <v>234</v>
      </c>
      <c r="AC2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4" s="67"/>
      <c r="AE234" t="s">
        <v>1588</v>
      </c>
      <c r="AF234" s="74" t="s">
        <v>1419</v>
      </c>
      <c r="AG234">
        <v>0</v>
      </c>
      <c r="AH234">
        <v>18</v>
      </c>
      <c r="AI234">
        <v>9</v>
      </c>
      <c r="AJ234">
        <v>0</v>
      </c>
      <c r="AK234">
        <v>65</v>
      </c>
      <c r="AL234">
        <v>0</v>
      </c>
      <c r="AM234" t="b">
        <v>0</v>
      </c>
      <c r="AN234" s="73">
        <v>44743.73394675926</v>
      </c>
      <c r="AO234" t="s">
        <v>1956</v>
      </c>
      <c r="AP234" t="s">
        <v>2069</v>
      </c>
      <c r="AY234" t="b">
        <v>0</v>
      </c>
      <c r="BB234" t="b">
        <v>0</v>
      </c>
      <c r="BC234" t="b">
        <v>1</v>
      </c>
      <c r="BD234" t="b">
        <v>1</v>
      </c>
      <c r="BE234" t="b">
        <v>0</v>
      </c>
      <c r="BF234" t="b">
        <v>1</v>
      </c>
      <c r="BG234" t="b">
        <v>0</v>
      </c>
      <c r="BH234" t="b">
        <v>0</v>
      </c>
      <c r="BI234" s="76" t="str">
        <f>HYPERLINK("https://pbs.twimg.com/profile_banners/1542925079142551552/1664486546")</f>
        <v>https://pbs.twimg.com/profile_banners/1542925079142551552/1664486546</v>
      </c>
      <c r="BK234" t="s">
        <v>2343</v>
      </c>
      <c r="BL234" t="b">
        <v>0</v>
      </c>
      <c r="BN234" t="s">
        <v>66</v>
      </c>
      <c r="BO234" t="s">
        <v>2345</v>
      </c>
      <c r="BP234" s="76" t="str">
        <f>HYPERLINK("https://twitter.com/harianto_zanuar")</f>
        <v>https://twitter.com/harianto_zanuar</v>
      </c>
      <c r="BQ234" s="44"/>
      <c r="BR234" s="44"/>
      <c r="BS234" s="44"/>
      <c r="BT234" s="44"/>
      <c r="BU234" s="44" t="s">
        <v>2417</v>
      </c>
      <c r="BV234" s="44" t="s">
        <v>687</v>
      </c>
      <c r="BW234" s="95" t="s">
        <v>3429</v>
      </c>
      <c r="BX234" s="95" t="s">
        <v>3436</v>
      </c>
      <c r="BY234" s="95" t="s">
        <v>3449</v>
      </c>
      <c r="BZ234" s="95" t="s">
        <v>3449</v>
      </c>
      <c r="CA234" s="95">
        <v>3</v>
      </c>
      <c r="CB234" s="98">
        <v>7.142857142857143</v>
      </c>
      <c r="CC234" s="95">
        <v>1</v>
      </c>
      <c r="CD234" s="98">
        <v>2.380952380952381</v>
      </c>
      <c r="CE234" s="95">
        <v>0</v>
      </c>
      <c r="CF234" s="98">
        <v>0</v>
      </c>
      <c r="CG234" s="95">
        <v>38</v>
      </c>
      <c r="CH234" s="98">
        <v>90.47619047619048</v>
      </c>
      <c r="CI234" s="95">
        <v>42</v>
      </c>
      <c r="CJ234" s="116" t="str">
        <f>REPLACE(INDEX(GroupVertices[Group],MATCH("~"&amp;Vertices[[#This Row],[Vertex]],GroupVertices[Vertex],0)),1,1,"")</f>
        <v>16</v>
      </c>
      <c r="CK234" s="95"/>
      <c r="CL234" s="95"/>
      <c r="CM234" s="95" t="s">
        <v>2417</v>
      </c>
      <c r="CN234" s="95" t="s">
        <v>687</v>
      </c>
      <c r="CO234" s="2"/>
    </row>
    <row r="235" spans="1:93" ht="41.45" customHeight="1">
      <c r="A235" s="59" t="s">
        <v>254</v>
      </c>
      <c r="C235" s="60"/>
      <c r="D235" s="60" t="s">
        <v>64</v>
      </c>
      <c r="E235" s="61"/>
      <c r="F235" s="63"/>
      <c r="G235" s="92" t="str">
        <f>HYPERLINK("https://pbs.twimg.com/profile_images/1484983158676275206/Gob5FqRq_normal.jpg")</f>
        <v>https://pbs.twimg.com/profile_images/1484983158676275206/Gob5FqRq_normal.jpg</v>
      </c>
      <c r="H235" s="60"/>
      <c r="I235" s="64" t="str">
        <f>Vertices[[#This Row],[Vertex]]</f>
        <v>nurhanip3</v>
      </c>
      <c r="J235" s="65"/>
      <c r="K235" s="65"/>
      <c r="L235" s="64"/>
      <c r="M235" s="68"/>
      <c r="N235" s="69">
        <v>7700.98388671875</v>
      </c>
      <c r="O235" s="69">
        <v>1555.822998046875</v>
      </c>
      <c r="P235" s="70"/>
      <c r="Q235" s="71"/>
      <c r="R235" s="71"/>
      <c r="S235" s="78"/>
      <c r="T235" s="44">
        <v>0</v>
      </c>
      <c r="U235" s="44">
        <v>3</v>
      </c>
      <c r="V235" s="45">
        <v>6</v>
      </c>
      <c r="W235" s="45">
        <v>0.011628</v>
      </c>
      <c r="X235" s="45">
        <v>0</v>
      </c>
      <c r="Y235" s="45">
        <v>0.004868</v>
      </c>
      <c r="Z235" s="45">
        <v>0</v>
      </c>
      <c r="AA235" s="45">
        <v>0</v>
      </c>
      <c r="AB235" s="66">
        <v>235</v>
      </c>
      <c r="AC2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5" s="67"/>
      <c r="AE235" t="s">
        <v>1605</v>
      </c>
      <c r="AF235" s="74" t="s">
        <v>1424</v>
      </c>
      <c r="AG235">
        <v>26</v>
      </c>
      <c r="AH235">
        <v>243</v>
      </c>
      <c r="AI235">
        <v>535</v>
      </c>
      <c r="AJ235">
        <v>0</v>
      </c>
      <c r="AK235">
        <v>1998</v>
      </c>
      <c r="AL235">
        <v>12</v>
      </c>
      <c r="AM235" t="b">
        <v>0</v>
      </c>
      <c r="AN235" s="73">
        <v>44334.7544212963</v>
      </c>
      <c r="AP235" t="s">
        <v>2082</v>
      </c>
      <c r="AY235" t="b">
        <v>0</v>
      </c>
      <c r="BB235" t="b">
        <v>0</v>
      </c>
      <c r="BC235" t="b">
        <v>1</v>
      </c>
      <c r="BD235" t="b">
        <v>1</v>
      </c>
      <c r="BE235" t="b">
        <v>0</v>
      </c>
      <c r="BF235" t="b">
        <v>0</v>
      </c>
      <c r="BG235" t="b">
        <v>0</v>
      </c>
      <c r="BH235" t="b">
        <v>0</v>
      </c>
      <c r="BI235" s="76" t="str">
        <f>HYPERLINK("https://pbs.twimg.com/profile_banners/1394715956971286529/1642882550")</f>
        <v>https://pbs.twimg.com/profile_banners/1394715956971286529/1642882550</v>
      </c>
      <c r="BK235" t="s">
        <v>2343</v>
      </c>
      <c r="BL235" t="b">
        <v>0</v>
      </c>
      <c r="BN235" t="s">
        <v>66</v>
      </c>
      <c r="BO235" t="s">
        <v>2345</v>
      </c>
      <c r="BP235" s="76" t="str">
        <f>HYPERLINK("https://twitter.com/nurhanip3")</f>
        <v>https://twitter.com/nurhanip3</v>
      </c>
      <c r="BQ235" s="44"/>
      <c r="BR235" s="44"/>
      <c r="BS235" s="44"/>
      <c r="BT235" s="44"/>
      <c r="BU235" s="44"/>
      <c r="BV235" s="44"/>
      <c r="BW235" s="95" t="s">
        <v>11452</v>
      </c>
      <c r="BX235" s="95" t="s">
        <v>11452</v>
      </c>
      <c r="BY235" s="95" t="s">
        <v>2514</v>
      </c>
      <c r="BZ235" s="95" t="s">
        <v>2514</v>
      </c>
      <c r="CA235" s="95">
        <v>6</v>
      </c>
      <c r="CB235" s="98">
        <v>33.333333333333336</v>
      </c>
      <c r="CC235" s="95">
        <v>1</v>
      </c>
      <c r="CD235" s="98">
        <v>5.555555555555555</v>
      </c>
      <c r="CE235" s="95">
        <v>0</v>
      </c>
      <c r="CF235" s="98">
        <v>0</v>
      </c>
      <c r="CG235" s="95">
        <v>11</v>
      </c>
      <c r="CH235" s="98">
        <v>61.111111111111114</v>
      </c>
      <c r="CI235" s="95">
        <v>18</v>
      </c>
      <c r="CJ235" s="116" t="str">
        <f>REPLACE(INDEX(GroupVertices[Group],MATCH("~"&amp;Vertices[[#This Row],[Vertex]],GroupVertices[Vertex],0)),1,1,"")</f>
        <v>17</v>
      </c>
      <c r="CK235" s="95"/>
      <c r="CL235" s="95"/>
      <c r="CM235" s="95"/>
      <c r="CN235" s="95"/>
      <c r="CO235" s="2"/>
    </row>
    <row r="236" spans="1:93" ht="41.45" customHeight="1">
      <c r="A236" s="59" t="s">
        <v>289</v>
      </c>
      <c r="C236" s="60"/>
      <c r="D236" s="60" t="s">
        <v>64</v>
      </c>
      <c r="E236" s="61"/>
      <c r="F236" s="63"/>
      <c r="G236" s="92" t="str">
        <f>HYPERLINK("https://pbs.twimg.com/profile_images/1726924426342768641/kyHaxtKr_normal.jpg")</f>
        <v>https://pbs.twimg.com/profile_images/1726924426342768641/kyHaxtKr_normal.jpg</v>
      </c>
      <c r="H236" s="60"/>
      <c r="I236" s="64" t="str">
        <f>Vertices[[#This Row],[Vertex]]</f>
        <v>bijaksan4</v>
      </c>
      <c r="J236" s="65"/>
      <c r="K236" s="65"/>
      <c r="L236" s="64"/>
      <c r="M236" s="68"/>
      <c r="N236" s="69">
        <v>7240.82861328125</v>
      </c>
      <c r="O236" s="69">
        <v>5716.96240234375</v>
      </c>
      <c r="P236" s="70"/>
      <c r="Q236" s="71"/>
      <c r="R236" s="71"/>
      <c r="S236" s="78"/>
      <c r="T236" s="44">
        <v>0</v>
      </c>
      <c r="U236" s="44">
        <v>2</v>
      </c>
      <c r="V236" s="45">
        <v>10</v>
      </c>
      <c r="W236" s="45">
        <v>0.009967</v>
      </c>
      <c r="X236" s="45">
        <v>0</v>
      </c>
      <c r="Y236" s="45">
        <v>0.004106</v>
      </c>
      <c r="Z236" s="45">
        <v>0</v>
      </c>
      <c r="AA236" s="45">
        <v>0</v>
      </c>
      <c r="AB236" s="66">
        <v>236</v>
      </c>
      <c r="AC2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6" s="67"/>
      <c r="AE236" t="s">
        <v>1689</v>
      </c>
      <c r="AF236" s="74" t="s">
        <v>1448</v>
      </c>
      <c r="AG236">
        <v>408</v>
      </c>
      <c r="AH236">
        <v>929</v>
      </c>
      <c r="AI236">
        <v>7768</v>
      </c>
      <c r="AJ236">
        <v>0</v>
      </c>
      <c r="AK236">
        <v>15391</v>
      </c>
      <c r="AL236">
        <v>198</v>
      </c>
      <c r="AM236" t="b">
        <v>0</v>
      </c>
      <c r="AN236" s="73">
        <v>43984.94841435185</v>
      </c>
      <c r="AP236" t="s">
        <v>2161</v>
      </c>
      <c r="AW236">
        <v>1.58263544810235E+18</v>
      </c>
      <c r="AY236" t="b">
        <v>0</v>
      </c>
      <c r="BB236" t="b">
        <v>1</v>
      </c>
      <c r="BC236" t="b">
        <v>1</v>
      </c>
      <c r="BD236" t="b">
        <v>1</v>
      </c>
      <c r="BE236" t="b">
        <v>0</v>
      </c>
      <c r="BF236" t="b">
        <v>1</v>
      </c>
      <c r="BG236" t="b">
        <v>0</v>
      </c>
      <c r="BH236" t="b">
        <v>0</v>
      </c>
      <c r="BI236" s="76" t="str">
        <f>HYPERLINK("https://pbs.twimg.com/profile_banners/1267950436297785348/1684635373")</f>
        <v>https://pbs.twimg.com/profile_banners/1267950436297785348/1684635373</v>
      </c>
      <c r="BK236" t="s">
        <v>2343</v>
      </c>
      <c r="BL236" t="b">
        <v>0</v>
      </c>
      <c r="BN236" t="s">
        <v>66</v>
      </c>
      <c r="BO236" t="s">
        <v>2345</v>
      </c>
      <c r="BP236" s="76" t="str">
        <f>HYPERLINK("https://twitter.com/bijaksan4")</f>
        <v>https://twitter.com/bijaksan4</v>
      </c>
      <c r="BQ236" s="44"/>
      <c r="BR236" s="44"/>
      <c r="BS236" s="44"/>
      <c r="BT236" s="44"/>
      <c r="BU236" s="44" t="s">
        <v>682</v>
      </c>
      <c r="BV236" s="44" t="s">
        <v>682</v>
      </c>
      <c r="BW236" s="95" t="s">
        <v>2448</v>
      </c>
      <c r="BX236" s="95" t="s">
        <v>2448</v>
      </c>
      <c r="BY236" s="95" t="s">
        <v>2537</v>
      </c>
      <c r="BZ236" s="95" t="s">
        <v>2537</v>
      </c>
      <c r="CA236" s="95">
        <v>1</v>
      </c>
      <c r="CB236" s="98">
        <v>10</v>
      </c>
      <c r="CC236" s="95">
        <v>0</v>
      </c>
      <c r="CD236" s="98">
        <v>0</v>
      </c>
      <c r="CE236" s="95">
        <v>0</v>
      </c>
      <c r="CF236" s="98">
        <v>0</v>
      </c>
      <c r="CG236" s="95">
        <v>9</v>
      </c>
      <c r="CH236" s="98">
        <v>90</v>
      </c>
      <c r="CI236" s="95">
        <v>10</v>
      </c>
      <c r="CJ236" s="116" t="str">
        <f>REPLACE(INDEX(GroupVertices[Group],MATCH("~"&amp;Vertices[[#This Row],[Vertex]],GroupVertices[Vertex],0)),1,1,"")</f>
        <v>15</v>
      </c>
      <c r="CK236" s="95"/>
      <c r="CL236" s="95"/>
      <c r="CM236" s="95" t="s">
        <v>682</v>
      </c>
      <c r="CN236" s="95" t="s">
        <v>682</v>
      </c>
      <c r="CO236" s="2"/>
    </row>
    <row r="237" spans="1:93" ht="41.45" customHeight="1">
      <c r="A237" s="59" t="s">
        <v>321</v>
      </c>
      <c r="C237" s="60"/>
      <c r="D237" s="60" t="s">
        <v>64</v>
      </c>
      <c r="E237" s="61"/>
      <c r="F237" s="63"/>
      <c r="G237" s="92" t="str">
        <f>HYPERLINK("https://pbs.twimg.com/profile_images/1690969260951281664/qNfddUQH_normal.jpg")</f>
        <v>https://pbs.twimg.com/profile_images/1690969260951281664/qNfddUQH_normal.jpg</v>
      </c>
      <c r="H237" s="60"/>
      <c r="I237" s="64" t="str">
        <f>Vertices[[#This Row],[Vertex]]</f>
        <v>nasirudin_manan</v>
      </c>
      <c r="J237" s="65"/>
      <c r="K237" s="65"/>
      <c r="L237" s="64"/>
      <c r="M237" s="68"/>
      <c r="N237" s="69">
        <v>7827.06494140625</v>
      </c>
      <c r="O237" s="69">
        <v>3356.196044921875</v>
      </c>
      <c r="P237" s="70"/>
      <c r="Q237" s="71"/>
      <c r="R237" s="71"/>
      <c r="S237" s="78"/>
      <c r="T237" s="44">
        <v>0</v>
      </c>
      <c r="U237" s="44">
        <v>2</v>
      </c>
      <c r="V237" s="45">
        <v>4</v>
      </c>
      <c r="W237" s="45">
        <v>0.008721</v>
      </c>
      <c r="X237" s="45">
        <v>0</v>
      </c>
      <c r="Y237" s="45">
        <v>0.004036</v>
      </c>
      <c r="Z237" s="45">
        <v>0</v>
      </c>
      <c r="AA237" s="45">
        <v>0</v>
      </c>
      <c r="AB237" s="66">
        <v>237</v>
      </c>
      <c r="AC2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7" s="67"/>
      <c r="AE237" t="s">
        <v>1767</v>
      </c>
      <c r="AF237" s="74" t="s">
        <v>1469</v>
      </c>
      <c r="AG237">
        <v>50</v>
      </c>
      <c r="AH237">
        <v>104</v>
      </c>
      <c r="AI237">
        <v>792</v>
      </c>
      <c r="AJ237">
        <v>0</v>
      </c>
      <c r="AK237">
        <v>1442</v>
      </c>
      <c r="AL237">
        <v>149</v>
      </c>
      <c r="AM237" t="b">
        <v>0</v>
      </c>
      <c r="AN237" s="73">
        <v>44585.49108796296</v>
      </c>
      <c r="AO237" t="s">
        <v>996</v>
      </c>
      <c r="AP237" t="s">
        <v>2231</v>
      </c>
      <c r="AW237">
        <v>1.67464137137288E+18</v>
      </c>
      <c r="AY237" t="b">
        <v>0</v>
      </c>
      <c r="BB237" t="b">
        <v>0</v>
      </c>
      <c r="BC237" t="b">
        <v>1</v>
      </c>
      <c r="BD237" t="b">
        <v>1</v>
      </c>
      <c r="BE237" t="b">
        <v>0</v>
      </c>
      <c r="BF237" t="b">
        <v>0</v>
      </c>
      <c r="BG237" t="b">
        <v>0</v>
      </c>
      <c r="BH237" t="b">
        <v>0</v>
      </c>
      <c r="BI237" s="76" t="str">
        <f>HYPERLINK("https://pbs.twimg.com/profile_banners/1485579860282339328/1643382549")</f>
        <v>https://pbs.twimg.com/profile_banners/1485579860282339328/1643382549</v>
      </c>
      <c r="BK237" t="s">
        <v>2343</v>
      </c>
      <c r="BL237" t="b">
        <v>0</v>
      </c>
      <c r="BN237" t="s">
        <v>66</v>
      </c>
      <c r="BO237" t="s">
        <v>2345</v>
      </c>
      <c r="BP237" s="76" t="str">
        <f>HYPERLINK("https://twitter.com/nasirudin_manan")</f>
        <v>https://twitter.com/nasirudin_manan</v>
      </c>
      <c r="BQ237" s="44"/>
      <c r="BR237" s="44"/>
      <c r="BS237" s="44"/>
      <c r="BT237" s="44"/>
      <c r="BU237" s="44" t="s">
        <v>682</v>
      </c>
      <c r="BV237" s="44" t="s">
        <v>682</v>
      </c>
      <c r="BW237" s="95" t="s">
        <v>2464</v>
      </c>
      <c r="BX237" s="95" t="s">
        <v>2464</v>
      </c>
      <c r="BY237" s="95" t="s">
        <v>2563</v>
      </c>
      <c r="BZ237" s="95" t="s">
        <v>2563</v>
      </c>
      <c r="CA237" s="95">
        <v>1</v>
      </c>
      <c r="CB237" s="98">
        <v>10</v>
      </c>
      <c r="CC237" s="95">
        <v>0</v>
      </c>
      <c r="CD237" s="98">
        <v>0</v>
      </c>
      <c r="CE237" s="95">
        <v>0</v>
      </c>
      <c r="CF237" s="98">
        <v>0</v>
      </c>
      <c r="CG237" s="95">
        <v>9</v>
      </c>
      <c r="CH237" s="98">
        <v>90</v>
      </c>
      <c r="CI237" s="95">
        <v>10</v>
      </c>
      <c r="CJ237" s="116" t="str">
        <f>REPLACE(INDEX(GroupVertices[Group],MATCH("~"&amp;Vertices[[#This Row],[Vertex]],GroupVertices[Vertex],0)),1,1,"")</f>
        <v>18</v>
      </c>
      <c r="CK237" s="95"/>
      <c r="CL237" s="95"/>
      <c r="CM237" s="95" t="s">
        <v>682</v>
      </c>
      <c r="CN237" s="95" t="s">
        <v>682</v>
      </c>
      <c r="CO237" s="2"/>
    </row>
    <row r="238" spans="1:93" ht="41.45" customHeight="1">
      <c r="A238" s="59" t="s">
        <v>256</v>
      </c>
      <c r="C238" s="60"/>
      <c r="D238" s="60" t="s">
        <v>64</v>
      </c>
      <c r="E238" s="61"/>
      <c r="F238" s="63"/>
      <c r="G238" s="92" t="str">
        <f>HYPERLINK("https://pbs.twimg.com/profile_images/1687189182698115073/2W-0pLkc_normal.jpg")</f>
        <v>https://pbs.twimg.com/profile_images/1687189182698115073/2W-0pLkc_normal.jpg</v>
      </c>
      <c r="H238" s="60"/>
      <c r="I238" s="64" t="str">
        <f>Vertices[[#This Row],[Vertex]]</f>
        <v>caryantoawuy</v>
      </c>
      <c r="J238" s="65"/>
      <c r="K238" s="65"/>
      <c r="L238" s="64"/>
      <c r="M238" s="68"/>
      <c r="N238" s="69">
        <v>8288.6455078125</v>
      </c>
      <c r="O238" s="69">
        <v>8524.6015625</v>
      </c>
      <c r="P238" s="70"/>
      <c r="Q238" s="71"/>
      <c r="R238" s="71"/>
      <c r="S238" s="78"/>
      <c r="T238" s="44">
        <v>0</v>
      </c>
      <c r="U238" s="44">
        <v>2</v>
      </c>
      <c r="V238" s="45">
        <v>2</v>
      </c>
      <c r="W238" s="45">
        <v>0.007752</v>
      </c>
      <c r="X238" s="45">
        <v>0</v>
      </c>
      <c r="Y238" s="45">
        <v>0.004365</v>
      </c>
      <c r="Z238" s="45">
        <v>0</v>
      </c>
      <c r="AA238" s="45">
        <v>0</v>
      </c>
      <c r="AB238" s="66">
        <v>238</v>
      </c>
      <c r="AC2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8" s="67"/>
      <c r="AE238" t="s">
        <v>1610</v>
      </c>
      <c r="AF238" s="74" t="s">
        <v>1426</v>
      </c>
      <c r="AG238">
        <v>7201</v>
      </c>
      <c r="AH238">
        <v>2602</v>
      </c>
      <c r="AI238">
        <v>130740</v>
      </c>
      <c r="AJ238">
        <v>3</v>
      </c>
      <c r="AK238">
        <v>8</v>
      </c>
      <c r="AL238">
        <v>264</v>
      </c>
      <c r="AM238" t="b">
        <v>0</v>
      </c>
      <c r="AN238" s="73">
        <v>44500.027916666666</v>
      </c>
      <c r="AO238" t="s">
        <v>996</v>
      </c>
      <c r="AP238" t="s">
        <v>2087</v>
      </c>
      <c r="AQ238" s="76" t="str">
        <f>HYPERLINK("https://t.co/O88AB1oHer")</f>
        <v>https://t.co/O88AB1oHer</v>
      </c>
      <c r="AR238" s="76" t="str">
        <f>HYPERLINK("http://iyanofficial.com")</f>
        <v>http://iyanofficial.com</v>
      </c>
      <c r="AS238" t="s">
        <v>2277</v>
      </c>
      <c r="AX238" s="76" t="str">
        <f>HYPERLINK("https://t.co/O88AB1oHer")</f>
        <v>https://t.co/O88AB1oHer</v>
      </c>
      <c r="AY238" t="b">
        <v>0</v>
      </c>
      <c r="BB238" t="b">
        <v>0</v>
      </c>
      <c r="BC238" t="b">
        <v>0</v>
      </c>
      <c r="BD238" t="b">
        <v>1</v>
      </c>
      <c r="BE238" t="b">
        <v>0</v>
      </c>
      <c r="BF238" t="b">
        <v>1</v>
      </c>
      <c r="BG238" t="b">
        <v>0</v>
      </c>
      <c r="BH238" t="b">
        <v>0</v>
      </c>
      <c r="BI238" s="76" t="str">
        <f>HYPERLINK("https://pbs.twimg.com/profile_banners/1454608993456775171/1671904480")</f>
        <v>https://pbs.twimg.com/profile_banners/1454608993456775171/1671904480</v>
      </c>
      <c r="BK238" t="s">
        <v>2343</v>
      </c>
      <c r="BL238" t="b">
        <v>0</v>
      </c>
      <c r="BN238" t="s">
        <v>66</v>
      </c>
      <c r="BO238" t="s">
        <v>2345</v>
      </c>
      <c r="BP238" s="76" t="str">
        <f>HYPERLINK("https://twitter.com/caryantoawuy")</f>
        <v>https://twitter.com/caryantoawuy</v>
      </c>
      <c r="BQ238" s="44"/>
      <c r="BR238" s="44"/>
      <c r="BS238" s="44"/>
      <c r="BT238" s="44"/>
      <c r="BU238" s="44" t="s">
        <v>688</v>
      </c>
      <c r="BV238" s="44" t="s">
        <v>688</v>
      </c>
      <c r="BW238" s="95" t="s">
        <v>11453</v>
      </c>
      <c r="BX238" s="95" t="s">
        <v>11453</v>
      </c>
      <c r="BY238" s="95" t="s">
        <v>2515</v>
      </c>
      <c r="BZ238" s="95" t="s">
        <v>2515</v>
      </c>
      <c r="CA238" s="95">
        <v>5</v>
      </c>
      <c r="CB238" s="98">
        <v>13.513513513513514</v>
      </c>
      <c r="CC238" s="95">
        <v>0</v>
      </c>
      <c r="CD238" s="98">
        <v>0</v>
      </c>
      <c r="CE238" s="95">
        <v>0</v>
      </c>
      <c r="CF238" s="98">
        <v>0</v>
      </c>
      <c r="CG238" s="95">
        <v>32</v>
      </c>
      <c r="CH238" s="98">
        <v>86.48648648648648</v>
      </c>
      <c r="CI238" s="95">
        <v>37</v>
      </c>
      <c r="CJ238" s="116" t="str">
        <f>REPLACE(INDEX(GroupVertices[Group],MATCH("~"&amp;Vertices[[#This Row],[Vertex]],GroupVertices[Vertex],0)),1,1,"")</f>
        <v>23</v>
      </c>
      <c r="CK238" s="95"/>
      <c r="CL238" s="95"/>
      <c r="CM238" s="95" t="s">
        <v>688</v>
      </c>
      <c r="CN238" s="95" t="s">
        <v>688</v>
      </c>
      <c r="CO238" s="2"/>
    </row>
    <row r="239" spans="1:93" ht="41.45" customHeight="1">
      <c r="A239" s="59" t="s">
        <v>277</v>
      </c>
      <c r="C239" s="60"/>
      <c r="D239" s="60" t="s">
        <v>64</v>
      </c>
      <c r="E239" s="61"/>
      <c r="F239" s="63"/>
      <c r="G239" s="92" t="str">
        <f>HYPERLINK("https://pbs.twimg.com/profile_images/1456664684006821896/pcmqbuw1_normal.jpg")</f>
        <v>https://pbs.twimg.com/profile_images/1456664684006821896/pcmqbuw1_normal.jpg</v>
      </c>
      <c r="H239" s="60"/>
      <c r="I239" s="64" t="str">
        <f>Vertices[[#This Row],[Vertex]]</f>
        <v>hasan_rosadi</v>
      </c>
      <c r="J239" s="65"/>
      <c r="K239" s="65"/>
      <c r="L239" s="64"/>
      <c r="M239" s="68"/>
      <c r="N239" s="69">
        <v>9685.7216796875</v>
      </c>
      <c r="O239" s="69">
        <v>8524.6025390625</v>
      </c>
      <c r="P239" s="70"/>
      <c r="Q239" s="71"/>
      <c r="R239" s="71"/>
      <c r="S239" s="78"/>
      <c r="T239" s="44">
        <v>0</v>
      </c>
      <c r="U239" s="44">
        <v>2</v>
      </c>
      <c r="V239" s="45">
        <v>2</v>
      </c>
      <c r="W239" s="45">
        <v>0.007752</v>
      </c>
      <c r="X239" s="45">
        <v>0</v>
      </c>
      <c r="Y239" s="45">
        <v>0.004365</v>
      </c>
      <c r="Z239" s="45">
        <v>0</v>
      </c>
      <c r="AA239" s="45">
        <v>0</v>
      </c>
      <c r="AB239" s="66">
        <v>239</v>
      </c>
      <c r="AC2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9" s="67"/>
      <c r="AE239" t="s">
        <v>1657</v>
      </c>
      <c r="AF239" s="74" t="s">
        <v>1843</v>
      </c>
      <c r="AG239">
        <v>1905</v>
      </c>
      <c r="AH239">
        <v>2533</v>
      </c>
      <c r="AI239">
        <v>18163</v>
      </c>
      <c r="AJ239">
        <v>0</v>
      </c>
      <c r="AK239">
        <v>32076</v>
      </c>
      <c r="AL239">
        <v>1021</v>
      </c>
      <c r="AM239" t="b">
        <v>0</v>
      </c>
      <c r="AN239" s="73">
        <v>40542.543900462966</v>
      </c>
      <c r="AP239" t="s">
        <v>2129</v>
      </c>
      <c r="AW239">
        <v>1.71928448374739E+18</v>
      </c>
      <c r="AY239" t="b">
        <v>0</v>
      </c>
      <c r="BB239" t="b">
        <v>1</v>
      </c>
      <c r="BC239" t="b">
        <v>0</v>
      </c>
      <c r="BD239" t="b">
        <v>0</v>
      </c>
      <c r="BE239" t="b">
        <v>0</v>
      </c>
      <c r="BF239" t="b">
        <v>1</v>
      </c>
      <c r="BG239" t="b">
        <v>0</v>
      </c>
      <c r="BH239" t="b">
        <v>0</v>
      </c>
      <c r="BI239" s="76" t="str">
        <f>HYPERLINK("https://pbs.twimg.com/profile_banners/232178767/1558737627")</f>
        <v>https://pbs.twimg.com/profile_banners/232178767/1558737627</v>
      </c>
      <c r="BK239" t="s">
        <v>2343</v>
      </c>
      <c r="BL239" t="b">
        <v>0</v>
      </c>
      <c r="BN239" t="s">
        <v>66</v>
      </c>
      <c r="BO239" t="s">
        <v>2345</v>
      </c>
      <c r="BP239" s="76" t="str">
        <f>HYPERLINK("https://twitter.com/hasan_rosadi")</f>
        <v>https://twitter.com/hasan_rosadi</v>
      </c>
      <c r="BQ239" s="44"/>
      <c r="BR239" s="44"/>
      <c r="BS239" s="44"/>
      <c r="BT239" s="44"/>
      <c r="BU239" s="44"/>
      <c r="BV239" s="44"/>
      <c r="BW239" s="95" t="s">
        <v>11454</v>
      </c>
      <c r="BX239" s="95" t="s">
        <v>11454</v>
      </c>
      <c r="BY239" s="95" t="s">
        <v>2529</v>
      </c>
      <c r="BZ239" s="95" t="s">
        <v>2529</v>
      </c>
      <c r="CA239" s="95">
        <v>4</v>
      </c>
      <c r="CB239" s="98">
        <v>20</v>
      </c>
      <c r="CC239" s="95">
        <v>0</v>
      </c>
      <c r="CD239" s="98">
        <v>0</v>
      </c>
      <c r="CE239" s="95">
        <v>0</v>
      </c>
      <c r="CF239" s="98">
        <v>0</v>
      </c>
      <c r="CG239" s="95">
        <v>16</v>
      </c>
      <c r="CH239" s="98">
        <v>80</v>
      </c>
      <c r="CI239" s="95">
        <v>20</v>
      </c>
      <c r="CJ239" s="116" t="str">
        <f>REPLACE(INDEX(GroupVertices[Group],MATCH("~"&amp;Vertices[[#This Row],[Vertex]],GroupVertices[Vertex],0)),1,1,"")</f>
        <v>20</v>
      </c>
      <c r="CK239" s="95"/>
      <c r="CL239" s="95"/>
      <c r="CM239" s="95"/>
      <c r="CN239" s="95"/>
      <c r="CO239" s="2"/>
    </row>
    <row r="240" spans="1:93" ht="41.45" customHeight="1">
      <c r="A240" s="59" t="s">
        <v>237</v>
      </c>
      <c r="C240" s="60"/>
      <c r="D240" s="60" t="s">
        <v>64</v>
      </c>
      <c r="E240" s="61"/>
      <c r="F240" s="63"/>
      <c r="G240" s="92" t="str">
        <f>HYPERLINK("https://pbs.twimg.com/profile_images/1526536252509499392/Y-B9JKB2_normal.jpg")</f>
        <v>https://pbs.twimg.com/profile_images/1526536252509499392/Y-B9JKB2_normal.jpg</v>
      </c>
      <c r="H240" s="60"/>
      <c r="I240" s="64" t="str">
        <f>Vertices[[#This Row],[Vertex]]</f>
        <v>y_yoeng</v>
      </c>
      <c r="J240" s="65"/>
      <c r="K240" s="65"/>
      <c r="L240" s="64"/>
      <c r="M240" s="68"/>
      <c r="N240" s="69">
        <v>6658.86181640625</v>
      </c>
      <c r="O240" s="69">
        <v>5922.83203125</v>
      </c>
      <c r="P240" s="70"/>
      <c r="Q240" s="71"/>
      <c r="R240" s="71"/>
      <c r="S240" s="78"/>
      <c r="T240" s="44">
        <v>0</v>
      </c>
      <c r="U240" s="44">
        <v>1</v>
      </c>
      <c r="V240" s="45">
        <v>0</v>
      </c>
      <c r="W240" s="45">
        <v>0.007752</v>
      </c>
      <c r="X240" s="45">
        <v>0</v>
      </c>
      <c r="Y240" s="45">
        <v>0.003585</v>
      </c>
      <c r="Z240" s="45">
        <v>0</v>
      </c>
      <c r="AA240" s="45">
        <v>0</v>
      </c>
      <c r="AB240" s="66">
        <v>240</v>
      </c>
      <c r="AC2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0" s="67"/>
      <c r="AE240" t="s">
        <v>1568</v>
      </c>
      <c r="AF240" s="74" t="s">
        <v>1412</v>
      </c>
      <c r="AG240">
        <v>832</v>
      </c>
      <c r="AH240">
        <v>1091</v>
      </c>
      <c r="AI240">
        <v>2053</v>
      </c>
      <c r="AJ240">
        <v>0</v>
      </c>
      <c r="AK240">
        <v>2359</v>
      </c>
      <c r="AL240">
        <v>230</v>
      </c>
      <c r="AM240" t="b">
        <v>0</v>
      </c>
      <c r="AN240" s="73">
        <v>44387.09887731481</v>
      </c>
      <c r="AP240" t="s">
        <v>2052</v>
      </c>
      <c r="AY240" t="b">
        <v>0</v>
      </c>
      <c r="BB240" t="b">
        <v>0</v>
      </c>
      <c r="BC240" t="b">
        <v>1</v>
      </c>
      <c r="BD240" t="b">
        <v>1</v>
      </c>
      <c r="BE240" t="b">
        <v>0</v>
      </c>
      <c r="BF240" t="b">
        <v>0</v>
      </c>
      <c r="BG240" t="b">
        <v>0</v>
      </c>
      <c r="BH240" t="b">
        <v>0</v>
      </c>
      <c r="BI240" s="76" t="str">
        <f>HYPERLINK("https://pbs.twimg.com/profile_banners/1413684899127590914/1645634849")</f>
        <v>https://pbs.twimg.com/profile_banners/1413684899127590914/1645634849</v>
      </c>
      <c r="BK240" t="s">
        <v>2343</v>
      </c>
      <c r="BL240" t="b">
        <v>0</v>
      </c>
      <c r="BN240" t="s">
        <v>66</v>
      </c>
      <c r="BO240" t="s">
        <v>2345</v>
      </c>
      <c r="BP240" s="76" t="str">
        <f>HYPERLINK("https://twitter.com/y_yoeng")</f>
        <v>https://twitter.com/y_yoeng</v>
      </c>
      <c r="BQ240" s="44"/>
      <c r="BR240" s="44"/>
      <c r="BS240" s="44"/>
      <c r="BT240" s="44"/>
      <c r="BU240" s="44"/>
      <c r="BV240" s="44"/>
      <c r="BW240" s="95" t="s">
        <v>11455</v>
      </c>
      <c r="BX240" s="95" t="s">
        <v>11455</v>
      </c>
      <c r="BY240" s="95" t="s">
        <v>2498</v>
      </c>
      <c r="BZ240" s="95" t="s">
        <v>2498</v>
      </c>
      <c r="CA240" s="95">
        <v>3</v>
      </c>
      <c r="CB240" s="98">
        <v>75</v>
      </c>
      <c r="CC240" s="95">
        <v>0</v>
      </c>
      <c r="CD240" s="98">
        <v>0</v>
      </c>
      <c r="CE240" s="95">
        <v>0</v>
      </c>
      <c r="CF240" s="98">
        <v>0</v>
      </c>
      <c r="CG240" s="95">
        <v>1</v>
      </c>
      <c r="CH240" s="98">
        <v>25</v>
      </c>
      <c r="CI240" s="95">
        <v>4</v>
      </c>
      <c r="CJ240" s="116" t="str">
        <f>REPLACE(INDEX(GroupVertices[Group],MATCH("~"&amp;Vertices[[#This Row],[Vertex]],GroupVertices[Vertex],0)),1,1,"")</f>
        <v>15</v>
      </c>
      <c r="CK240" s="95"/>
      <c r="CL240" s="95"/>
      <c r="CM240" s="95"/>
      <c r="CN240" s="95"/>
      <c r="CO240" s="2"/>
    </row>
    <row r="241" spans="1:93" ht="41.45" customHeight="1">
      <c r="A241" s="59" t="s">
        <v>264</v>
      </c>
      <c r="C241" s="60"/>
      <c r="D241" s="60" t="s">
        <v>64</v>
      </c>
      <c r="E241" s="61"/>
      <c r="F241" s="63"/>
      <c r="G241" s="92" t="str">
        <f>HYPERLINK("https://pbs.twimg.com/profile_images/1604770180844097538/-ru78odx_normal.jpg")</f>
        <v>https://pbs.twimg.com/profile_images/1604770180844097538/-ru78odx_normal.jpg</v>
      </c>
      <c r="H241" s="60"/>
      <c r="I241" s="64" t="str">
        <f>Vertices[[#This Row],[Vertex]]</f>
        <v>maknyinyik</v>
      </c>
      <c r="J241" s="65"/>
      <c r="K241" s="65"/>
      <c r="L241" s="64"/>
      <c r="M241" s="68"/>
      <c r="N241" s="69">
        <v>8283.6572265625</v>
      </c>
      <c r="O241" s="69">
        <v>6205.705078125</v>
      </c>
      <c r="P241" s="70"/>
      <c r="Q241" s="71"/>
      <c r="R241" s="71"/>
      <c r="S241" s="78"/>
      <c r="T241" s="44">
        <v>0</v>
      </c>
      <c r="U241" s="44">
        <v>2</v>
      </c>
      <c r="V241" s="45">
        <v>2</v>
      </c>
      <c r="W241" s="45">
        <v>0.007752</v>
      </c>
      <c r="X241" s="45">
        <v>0</v>
      </c>
      <c r="Y241" s="45">
        <v>0.004365</v>
      </c>
      <c r="Z241" s="45">
        <v>0</v>
      </c>
      <c r="AA241" s="45">
        <v>0</v>
      </c>
      <c r="AB241" s="66">
        <v>241</v>
      </c>
      <c r="AC2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1" s="67"/>
      <c r="AE241" t="s">
        <v>1623</v>
      </c>
      <c r="AF241" s="74" t="s">
        <v>1432</v>
      </c>
      <c r="AG241">
        <v>346</v>
      </c>
      <c r="AH241">
        <v>372</v>
      </c>
      <c r="AI241">
        <v>5510</v>
      </c>
      <c r="AJ241">
        <v>1</v>
      </c>
      <c r="AK241">
        <v>16520</v>
      </c>
      <c r="AL241">
        <v>2</v>
      </c>
      <c r="AM241" t="b">
        <v>0</v>
      </c>
      <c r="AN241" s="73">
        <v>44912.5730787037</v>
      </c>
      <c r="AY241" t="b">
        <v>0</v>
      </c>
      <c r="BB241" t="b">
        <v>0</v>
      </c>
      <c r="BC241" t="b">
        <v>1</v>
      </c>
      <c r="BD241" t="b">
        <v>1</v>
      </c>
      <c r="BE241" t="b">
        <v>0</v>
      </c>
      <c r="BF241" t="b">
        <v>0</v>
      </c>
      <c r="BG241" t="b">
        <v>0</v>
      </c>
      <c r="BH241" t="b">
        <v>0</v>
      </c>
      <c r="BK241" t="s">
        <v>2343</v>
      </c>
      <c r="BL241" t="b">
        <v>0</v>
      </c>
      <c r="BN241" t="s">
        <v>66</v>
      </c>
      <c r="BO241" t="s">
        <v>2345</v>
      </c>
      <c r="BP241" s="76" t="str">
        <f>HYPERLINK("https://twitter.com/maknyinyik")</f>
        <v>https://twitter.com/maknyinyik</v>
      </c>
      <c r="BQ241" s="44"/>
      <c r="BR241" s="44"/>
      <c r="BS241" s="44"/>
      <c r="BT241" s="44"/>
      <c r="BU241" s="44"/>
      <c r="BV241" s="44"/>
      <c r="BW241" s="95" t="s">
        <v>11456</v>
      </c>
      <c r="BX241" s="95" t="s">
        <v>11456</v>
      </c>
      <c r="BY241" s="95" t="s">
        <v>2519</v>
      </c>
      <c r="BZ241" s="95" t="s">
        <v>2519</v>
      </c>
      <c r="CA241" s="95">
        <v>12</v>
      </c>
      <c r="CB241" s="98">
        <v>33.333333333333336</v>
      </c>
      <c r="CC241" s="95">
        <v>0</v>
      </c>
      <c r="CD241" s="98">
        <v>0</v>
      </c>
      <c r="CE241" s="95">
        <v>0</v>
      </c>
      <c r="CF241" s="98">
        <v>0</v>
      </c>
      <c r="CG241" s="95">
        <v>24</v>
      </c>
      <c r="CH241" s="98">
        <v>66.66666666666667</v>
      </c>
      <c r="CI241" s="95">
        <v>36</v>
      </c>
      <c r="CJ241" s="116" t="str">
        <f>REPLACE(INDEX(GroupVertices[Group],MATCH("~"&amp;Vertices[[#This Row],[Vertex]],GroupVertices[Vertex],0)),1,1,"")</f>
        <v>21</v>
      </c>
      <c r="CK241" s="95"/>
      <c r="CL241" s="95"/>
      <c r="CM241" s="95"/>
      <c r="CN241" s="95"/>
      <c r="CO241" s="2"/>
    </row>
    <row r="242" spans="1:93" ht="41.45" customHeight="1">
      <c r="A242" s="59" t="s">
        <v>282</v>
      </c>
      <c r="C242" s="60"/>
      <c r="D242" s="60" t="s">
        <v>64</v>
      </c>
      <c r="E242" s="61"/>
      <c r="F242" s="63"/>
      <c r="G242" s="92" t="str">
        <f>HYPERLINK("https://pbs.twimg.com/profile_images/1627012577229438976/zWpj0NFt_normal.jpg")</f>
        <v>https://pbs.twimg.com/profile_images/1627012577229438976/zWpj0NFt_normal.jpg</v>
      </c>
      <c r="H242" s="60"/>
      <c r="I242" s="64" t="str">
        <f>Vertices[[#This Row],[Vertex]]</f>
        <v>reihan_djaya</v>
      </c>
      <c r="J242" s="65"/>
      <c r="K242" s="65"/>
      <c r="L242" s="64"/>
      <c r="M242" s="68"/>
      <c r="N242" s="69">
        <v>8754.48046875</v>
      </c>
      <c r="O242" s="69">
        <v>8523.9716796875</v>
      </c>
      <c r="P242" s="70"/>
      <c r="Q242" s="71"/>
      <c r="R242" s="71"/>
      <c r="S242" s="78"/>
      <c r="T242" s="44">
        <v>0</v>
      </c>
      <c r="U242" s="44">
        <v>2</v>
      </c>
      <c r="V242" s="45">
        <v>2</v>
      </c>
      <c r="W242" s="45">
        <v>0.007752</v>
      </c>
      <c r="X242" s="45">
        <v>0</v>
      </c>
      <c r="Y242" s="45">
        <v>0.004365</v>
      </c>
      <c r="Z242" s="45">
        <v>0</v>
      </c>
      <c r="AA242" s="45">
        <v>0</v>
      </c>
      <c r="AB242" s="66">
        <v>242</v>
      </c>
      <c r="AC2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2" s="67"/>
      <c r="AE242" t="s">
        <v>1664</v>
      </c>
      <c r="AF242" s="74" t="s">
        <v>1444</v>
      </c>
      <c r="AG242">
        <v>275</v>
      </c>
      <c r="AH242">
        <v>798</v>
      </c>
      <c r="AI242">
        <v>3282</v>
      </c>
      <c r="AJ242">
        <v>0</v>
      </c>
      <c r="AK242">
        <v>7363</v>
      </c>
      <c r="AL242">
        <v>45</v>
      </c>
      <c r="AM242" t="b">
        <v>0</v>
      </c>
      <c r="AN242" s="73">
        <v>44815.5125</v>
      </c>
      <c r="AP242" t="s">
        <v>2136</v>
      </c>
      <c r="AY242" t="b">
        <v>0</v>
      </c>
      <c r="BB242" t="b">
        <v>0</v>
      </c>
      <c r="BC242" t="b">
        <v>1</v>
      </c>
      <c r="BD242" t="b">
        <v>1</v>
      </c>
      <c r="BE242" t="b">
        <v>0</v>
      </c>
      <c r="BF242" t="b">
        <v>0</v>
      </c>
      <c r="BG242" t="b">
        <v>0</v>
      </c>
      <c r="BH242" t="b">
        <v>0</v>
      </c>
      <c r="BI242" s="76" t="str">
        <f>HYPERLINK("https://pbs.twimg.com/profile_banners/1568936654718795776/1686061491")</f>
        <v>https://pbs.twimg.com/profile_banners/1568936654718795776/1686061491</v>
      </c>
      <c r="BK242" t="s">
        <v>2343</v>
      </c>
      <c r="BL242" t="b">
        <v>0</v>
      </c>
      <c r="BN242" t="s">
        <v>66</v>
      </c>
      <c r="BO242" t="s">
        <v>2345</v>
      </c>
      <c r="BP242" s="76" t="str">
        <f>HYPERLINK("https://twitter.com/reihan_djaya")</f>
        <v>https://twitter.com/reihan_djaya</v>
      </c>
      <c r="BQ242" s="44"/>
      <c r="BR242" s="44"/>
      <c r="BS242" s="44"/>
      <c r="BT242" s="44"/>
      <c r="BU242" s="44" t="s">
        <v>694</v>
      </c>
      <c r="BV242" s="44" t="s">
        <v>2424</v>
      </c>
      <c r="BW242" s="95" t="s">
        <v>2447</v>
      </c>
      <c r="BX242" s="95" t="s">
        <v>2447</v>
      </c>
      <c r="BY242" s="95" t="s">
        <v>2533</v>
      </c>
      <c r="BZ242" s="95" t="s">
        <v>2533</v>
      </c>
      <c r="CA242" s="95">
        <v>0</v>
      </c>
      <c r="CB242" s="98">
        <v>0</v>
      </c>
      <c r="CC242" s="95">
        <v>0</v>
      </c>
      <c r="CD242" s="98">
        <v>0</v>
      </c>
      <c r="CE242" s="95">
        <v>0</v>
      </c>
      <c r="CF242" s="98">
        <v>0</v>
      </c>
      <c r="CG242" s="95">
        <v>6</v>
      </c>
      <c r="CH242" s="98">
        <v>100</v>
      </c>
      <c r="CI242" s="95">
        <v>6</v>
      </c>
      <c r="CJ242" s="116" t="str">
        <f>REPLACE(INDEX(GroupVertices[Group],MATCH("~"&amp;Vertices[[#This Row],[Vertex]],GroupVertices[Vertex],0)),1,1,"")</f>
        <v>24</v>
      </c>
      <c r="CK242" s="95"/>
      <c r="CL242" s="95"/>
      <c r="CM242" s="95" t="s">
        <v>694</v>
      </c>
      <c r="CN242" s="95" t="s">
        <v>2424</v>
      </c>
      <c r="CO242" s="2"/>
    </row>
    <row r="243" spans="1:93" ht="41.45" customHeight="1">
      <c r="A243" s="59" t="s">
        <v>239</v>
      </c>
      <c r="C243" s="60"/>
      <c r="D243" s="60" t="s">
        <v>64</v>
      </c>
      <c r="E243" s="61"/>
      <c r="F243" s="63"/>
      <c r="G243" s="92" t="str">
        <f>HYPERLINK("https://pbs.twimg.com/profile_images/3657796708/307ef7f44163cbbfab6a1de091d5a307_normal.jpeg")</f>
        <v>https://pbs.twimg.com/profile_images/3657796708/307ef7f44163cbbfab6a1de091d5a307_normal.jpeg</v>
      </c>
      <c r="H243" s="60"/>
      <c r="I243" s="64" t="str">
        <f>Vertices[[#This Row],[Vertex]]</f>
        <v>sjaifulskb</v>
      </c>
      <c r="J243" s="65"/>
      <c r="K243" s="65"/>
      <c r="L243" s="64"/>
      <c r="M243" s="68"/>
      <c r="N243" s="69">
        <v>9220.16796875</v>
      </c>
      <c r="O243" s="69">
        <v>8523.9697265625</v>
      </c>
      <c r="P243" s="70"/>
      <c r="Q243" s="71"/>
      <c r="R243" s="71"/>
      <c r="S243" s="78"/>
      <c r="T243" s="44">
        <v>0</v>
      </c>
      <c r="U243" s="44">
        <v>2</v>
      </c>
      <c r="V243" s="45">
        <v>2</v>
      </c>
      <c r="W243" s="45">
        <v>0.007752</v>
      </c>
      <c r="X243" s="45">
        <v>0</v>
      </c>
      <c r="Y243" s="45">
        <v>0.004365</v>
      </c>
      <c r="Z243" s="45">
        <v>0</v>
      </c>
      <c r="AA243" s="45">
        <v>0</v>
      </c>
      <c r="AB243" s="66">
        <v>243</v>
      </c>
      <c r="AC2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3" s="67"/>
      <c r="AE243" t="s">
        <v>1572</v>
      </c>
      <c r="AF243" s="74" t="s">
        <v>1809</v>
      </c>
      <c r="AG243">
        <v>71</v>
      </c>
      <c r="AH243">
        <v>396</v>
      </c>
      <c r="AI243">
        <v>760</v>
      </c>
      <c r="AJ243">
        <v>0</v>
      </c>
      <c r="AK243">
        <v>3721</v>
      </c>
      <c r="AL243">
        <v>42</v>
      </c>
      <c r="AM243" t="b">
        <v>0</v>
      </c>
      <c r="AN243" s="73">
        <v>40717.70885416667</v>
      </c>
      <c r="AY243" t="b">
        <v>0</v>
      </c>
      <c r="BB243" t="b">
        <v>0</v>
      </c>
      <c r="BC243" t="b">
        <v>0</v>
      </c>
      <c r="BD243" t="b">
        <v>1</v>
      </c>
      <c r="BE243" t="b">
        <v>0</v>
      </c>
      <c r="BF243" t="b">
        <v>1</v>
      </c>
      <c r="BG243" t="b">
        <v>0</v>
      </c>
      <c r="BH243" t="b">
        <v>0</v>
      </c>
      <c r="BI243" s="76" t="str">
        <f>HYPERLINK("https://pbs.twimg.com/profile_banners/322726050/1368526172")</f>
        <v>https://pbs.twimg.com/profile_banners/322726050/1368526172</v>
      </c>
      <c r="BK243" t="s">
        <v>2343</v>
      </c>
      <c r="BL243" t="b">
        <v>0</v>
      </c>
      <c r="BN243" t="s">
        <v>66</v>
      </c>
      <c r="BO243" t="s">
        <v>2345</v>
      </c>
      <c r="BP243" s="76" t="str">
        <f>HYPERLINK("https://twitter.com/sjaifulskb")</f>
        <v>https://twitter.com/sjaifulskb</v>
      </c>
      <c r="BQ243" s="44"/>
      <c r="BR243" s="44"/>
      <c r="BS243" s="44"/>
      <c r="BT243" s="44"/>
      <c r="BU243" s="44"/>
      <c r="BV243" s="44"/>
      <c r="BW243" s="95" t="s">
        <v>11457</v>
      </c>
      <c r="BX243" s="95" t="s">
        <v>11482</v>
      </c>
      <c r="BY243" s="95" t="s">
        <v>2500</v>
      </c>
      <c r="BZ243" s="95" t="s">
        <v>2579</v>
      </c>
      <c r="CA243" s="95">
        <v>6</v>
      </c>
      <c r="CB243" s="98">
        <v>75</v>
      </c>
      <c r="CC243" s="95">
        <v>0</v>
      </c>
      <c r="CD243" s="98">
        <v>0</v>
      </c>
      <c r="CE243" s="95">
        <v>0</v>
      </c>
      <c r="CF243" s="98">
        <v>0</v>
      </c>
      <c r="CG243" s="95">
        <v>2</v>
      </c>
      <c r="CH243" s="98">
        <v>25</v>
      </c>
      <c r="CI243" s="95">
        <v>8</v>
      </c>
      <c r="CJ243" s="116" t="str">
        <f>REPLACE(INDEX(GroupVertices[Group],MATCH("~"&amp;Vertices[[#This Row],[Vertex]],GroupVertices[Vertex],0)),1,1,"")</f>
        <v>22</v>
      </c>
      <c r="CK243" s="95"/>
      <c r="CL243" s="95"/>
      <c r="CM243" s="95"/>
      <c r="CN243" s="95"/>
      <c r="CO243" s="2"/>
    </row>
    <row r="244" spans="1:93" ht="41.45" customHeight="1">
      <c r="A244" s="59" t="s">
        <v>224</v>
      </c>
      <c r="C244" s="60"/>
      <c r="D244" s="60" t="s">
        <v>64</v>
      </c>
      <c r="E244" s="61"/>
      <c r="F244" s="63"/>
      <c r="G244" s="92" t="str">
        <f>HYPERLINK("https://pbs.twimg.com/profile_images/1492974809596137476/T4ZtpzDJ_normal.jpg")</f>
        <v>https://pbs.twimg.com/profile_images/1492974809596137476/T4ZtpzDJ_normal.jpg</v>
      </c>
      <c r="H244" s="60"/>
      <c r="I244" s="64" t="str">
        <f>Vertices[[#This Row],[Vertex]]</f>
        <v>l_kunti</v>
      </c>
      <c r="J244" s="65"/>
      <c r="K244" s="65"/>
      <c r="L244" s="64"/>
      <c r="M244" s="68"/>
      <c r="N244" s="69">
        <v>7975.64111328125</v>
      </c>
      <c r="O244" s="69">
        <v>7340.4794921875</v>
      </c>
      <c r="P244" s="70"/>
      <c r="Q244" s="71"/>
      <c r="R244" s="71"/>
      <c r="S244" s="78"/>
      <c r="T244" s="44">
        <v>0</v>
      </c>
      <c r="U244" s="44">
        <v>1</v>
      </c>
      <c r="V244" s="45">
        <v>0</v>
      </c>
      <c r="W244" s="45">
        <v>0.006891</v>
      </c>
      <c r="X244" s="45">
        <v>0</v>
      </c>
      <c r="Y244" s="45">
        <v>0.003586</v>
      </c>
      <c r="Z244" s="45">
        <v>0</v>
      </c>
      <c r="AA244" s="45">
        <v>0</v>
      </c>
      <c r="AB244" s="66">
        <v>244</v>
      </c>
      <c r="AC2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4" s="67"/>
      <c r="AE244" t="s">
        <v>1537</v>
      </c>
      <c r="AF244" s="74" t="s">
        <v>1404</v>
      </c>
      <c r="AG244">
        <v>3</v>
      </c>
      <c r="AH244">
        <v>66</v>
      </c>
      <c r="AI244">
        <v>253</v>
      </c>
      <c r="AJ244">
        <v>0</v>
      </c>
      <c r="AK244">
        <v>6</v>
      </c>
      <c r="AL244">
        <v>110</v>
      </c>
      <c r="AM244" t="b">
        <v>0</v>
      </c>
      <c r="AN244" s="73">
        <v>44098.5874537037</v>
      </c>
      <c r="AP244" t="s">
        <v>2023</v>
      </c>
      <c r="AY244" t="b">
        <v>0</v>
      </c>
      <c r="BB244" t="b">
        <v>0</v>
      </c>
      <c r="BC244" t="b">
        <v>1</v>
      </c>
      <c r="BD244" t="b">
        <v>1</v>
      </c>
      <c r="BE244" t="b">
        <v>0</v>
      </c>
      <c r="BF244" t="b">
        <v>0</v>
      </c>
      <c r="BG244" t="b">
        <v>0</v>
      </c>
      <c r="BH244" t="b">
        <v>0</v>
      </c>
      <c r="BI244" s="76" t="str">
        <f>HYPERLINK("https://pbs.twimg.com/profile_banners/1309131860186927104/1700840381")</f>
        <v>https://pbs.twimg.com/profile_banners/1309131860186927104/1700840381</v>
      </c>
      <c r="BK244" t="s">
        <v>2343</v>
      </c>
      <c r="BL244" t="b">
        <v>0</v>
      </c>
      <c r="BN244" t="s">
        <v>66</v>
      </c>
      <c r="BO244" t="s">
        <v>2345</v>
      </c>
      <c r="BP244" s="76" t="str">
        <f>HYPERLINK("https://twitter.com/l_kunti")</f>
        <v>https://twitter.com/l_kunti</v>
      </c>
      <c r="BQ244" s="44"/>
      <c r="BR244" s="44"/>
      <c r="BS244" s="44"/>
      <c r="BT244" s="44"/>
      <c r="BU244" s="44"/>
      <c r="BV244" s="44"/>
      <c r="BW244" s="95" t="s">
        <v>11458</v>
      </c>
      <c r="BX244" s="95" t="s">
        <v>11458</v>
      </c>
      <c r="BY244" s="95" t="s">
        <v>2482</v>
      </c>
      <c r="BZ244" s="95" t="s">
        <v>2482</v>
      </c>
      <c r="CA244" s="95">
        <v>6</v>
      </c>
      <c r="CB244" s="98">
        <v>18.75</v>
      </c>
      <c r="CC244" s="95">
        <v>1</v>
      </c>
      <c r="CD244" s="98">
        <v>3.125</v>
      </c>
      <c r="CE244" s="95">
        <v>0</v>
      </c>
      <c r="CF244" s="98">
        <v>0</v>
      </c>
      <c r="CG244" s="95">
        <v>25</v>
      </c>
      <c r="CH244" s="98">
        <v>78.125</v>
      </c>
      <c r="CI244" s="95">
        <v>32</v>
      </c>
      <c r="CJ244" s="116" t="str">
        <f>REPLACE(INDEX(GroupVertices[Group],MATCH("~"&amp;Vertices[[#This Row],[Vertex]],GroupVertices[Vertex],0)),1,1,"")</f>
        <v>16</v>
      </c>
      <c r="CK244" s="95"/>
      <c r="CL244" s="95"/>
      <c r="CM244" s="95"/>
      <c r="CN244" s="95"/>
      <c r="CO244" s="2"/>
    </row>
    <row r="245" spans="1:93" ht="41.45" customHeight="1">
      <c r="A245" s="59" t="s">
        <v>323</v>
      </c>
      <c r="C245" s="125"/>
      <c r="D245" s="60" t="s">
        <v>64</v>
      </c>
      <c r="E245" s="129"/>
      <c r="F245" s="124"/>
      <c r="G245" s="92" t="str">
        <f>HYPERLINK("https://pbs.twimg.com/profile_images/1464279451563397122/ZnNNWFJ__normal.png")</f>
        <v>https://pbs.twimg.com/profile_images/1464279451563397122/ZnNNWFJ__normal.png</v>
      </c>
      <c r="H245" s="125"/>
      <c r="I245" s="64" t="str">
        <f>Vertices[[#This Row],[Vertex]]</f>
        <v>rachman_ayah</v>
      </c>
      <c r="J245" s="126"/>
      <c r="K245" s="126"/>
      <c r="L245" s="130"/>
      <c r="M245" s="127"/>
      <c r="N245" s="131">
        <v>7493.88427734375</v>
      </c>
      <c r="O245" s="131">
        <v>4391.458984375</v>
      </c>
      <c r="P245" s="132"/>
      <c r="Q245" s="133"/>
      <c r="R245" s="133"/>
      <c r="S245" s="134"/>
      <c r="T245" s="44">
        <v>0</v>
      </c>
      <c r="U245" s="44">
        <v>1</v>
      </c>
      <c r="V245" s="45">
        <v>0</v>
      </c>
      <c r="W245" s="45">
        <v>0.005814</v>
      </c>
      <c r="X245" s="45">
        <v>0</v>
      </c>
      <c r="Y245" s="45">
        <v>0.003498</v>
      </c>
      <c r="Z245" s="45">
        <v>0</v>
      </c>
      <c r="AA245" s="45">
        <v>0</v>
      </c>
      <c r="AB245" s="135">
        <v>245</v>
      </c>
      <c r="AC245"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5" s="67"/>
      <c r="AE245" t="s">
        <v>1770</v>
      </c>
      <c r="AF245" s="74" t="s">
        <v>1470</v>
      </c>
      <c r="AG245">
        <v>0</v>
      </c>
      <c r="AH245">
        <v>44</v>
      </c>
      <c r="AI245">
        <v>201</v>
      </c>
      <c r="AJ245">
        <v>0</v>
      </c>
      <c r="AK245">
        <v>300</v>
      </c>
      <c r="AL245">
        <v>0</v>
      </c>
      <c r="AM245" t="b">
        <v>0</v>
      </c>
      <c r="AN245" s="73">
        <v>44526.71296296296</v>
      </c>
      <c r="AY245" t="b">
        <v>0</v>
      </c>
      <c r="BB245" t="b">
        <v>0</v>
      </c>
      <c r="BC245" t="b">
        <v>1</v>
      </c>
      <c r="BD245" t="b">
        <v>1</v>
      </c>
      <c r="BE245" t="b">
        <v>0</v>
      </c>
      <c r="BF245" t="b">
        <v>0</v>
      </c>
      <c r="BG245" t="b">
        <v>0</v>
      </c>
      <c r="BH245" t="b">
        <v>0</v>
      </c>
      <c r="BK245" t="s">
        <v>2343</v>
      </c>
      <c r="BL245" t="b">
        <v>0</v>
      </c>
      <c r="BN245" t="s">
        <v>66</v>
      </c>
      <c r="BO245" t="s">
        <v>2345</v>
      </c>
      <c r="BP245" s="76" t="str">
        <f>HYPERLINK("https://twitter.com/rachman_ayah")</f>
        <v>https://twitter.com/rachman_ayah</v>
      </c>
      <c r="BQ245" s="44"/>
      <c r="BR245" s="44"/>
      <c r="BS245" s="44"/>
      <c r="BT245" s="44"/>
      <c r="BU245" s="44"/>
      <c r="BV245" s="44"/>
      <c r="BW245" s="95" t="s">
        <v>11459</v>
      </c>
      <c r="BX245" s="95" t="s">
        <v>11459</v>
      </c>
      <c r="BY245" s="95" t="s">
        <v>2565</v>
      </c>
      <c r="BZ245" s="95" t="s">
        <v>2565</v>
      </c>
      <c r="CA245" s="95">
        <v>7</v>
      </c>
      <c r="CB245" s="98">
        <v>20.58823529411765</v>
      </c>
      <c r="CC245" s="95">
        <v>3</v>
      </c>
      <c r="CD245" s="98">
        <v>8.823529411764707</v>
      </c>
      <c r="CE245" s="95">
        <v>0</v>
      </c>
      <c r="CF245" s="98">
        <v>0</v>
      </c>
      <c r="CG245" s="95">
        <v>24</v>
      </c>
      <c r="CH245" s="98">
        <v>70.58823529411765</v>
      </c>
      <c r="CI245" s="95">
        <v>34</v>
      </c>
      <c r="CJ245" s="116" t="str">
        <f>REPLACE(INDEX(GroupVertices[Group],MATCH("~"&amp;Vertices[[#This Row],[Vertex]],GroupVertices[Vertex],0)),1,1,"")</f>
        <v>18</v>
      </c>
      <c r="CK245" s="95"/>
      <c r="CL245" s="95"/>
      <c r="CM245" s="95"/>
      <c r="CN245" s="95"/>
      <c r="CO245" s="2"/>
    </row>
    <row r="246" spans="1:93" ht="41.45" customHeight="1">
      <c r="A246" s="59" t="s">
        <v>308</v>
      </c>
      <c r="C246" s="60"/>
      <c r="D246" s="60" t="s">
        <v>64</v>
      </c>
      <c r="E246" s="61"/>
      <c r="F246" s="63"/>
      <c r="G246" s="92" t="str">
        <f>HYPERLINK("https://pbs.twimg.com/profile_images/1718760004688416768/hT2eS6-3_normal.jpg")</f>
        <v>https://pbs.twimg.com/profile_images/1718760004688416768/hT2eS6-3_normal.jpg</v>
      </c>
      <c r="H246" s="60"/>
      <c r="I246" s="64" t="str">
        <f>Vertices[[#This Row],[Vertex]]</f>
        <v>rahmaniarbaftim</v>
      </c>
      <c r="J246" s="65"/>
      <c r="K246" s="65"/>
      <c r="L246" s="64"/>
      <c r="M246" s="68"/>
      <c r="N246" s="69">
        <v>9383.2294921875</v>
      </c>
      <c r="O246" s="69">
        <v>3468.1904296875</v>
      </c>
      <c r="P246" s="70"/>
      <c r="Q246" s="71"/>
      <c r="R246" s="71"/>
      <c r="S246" s="78"/>
      <c r="T246" s="44">
        <v>0</v>
      </c>
      <c r="U246" s="44">
        <v>1</v>
      </c>
      <c r="V246" s="45">
        <v>0</v>
      </c>
      <c r="W246" s="45">
        <v>0.003876</v>
      </c>
      <c r="X246" s="45">
        <v>0</v>
      </c>
      <c r="Y246" s="45">
        <v>0.003861</v>
      </c>
      <c r="Z246" s="45">
        <v>0</v>
      </c>
      <c r="AA246" s="45">
        <v>0</v>
      </c>
      <c r="AB246" s="66">
        <v>246</v>
      </c>
      <c r="AC2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6" s="67"/>
      <c r="AE246" t="s">
        <v>1749</v>
      </c>
      <c r="AF246" s="74" t="s">
        <v>1903</v>
      </c>
      <c r="AG246">
        <v>17181</v>
      </c>
      <c r="AH246">
        <v>11821</v>
      </c>
      <c r="AI246">
        <v>61684</v>
      </c>
      <c r="AJ246">
        <v>0</v>
      </c>
      <c r="AK246">
        <v>195298</v>
      </c>
      <c r="AL246">
        <v>1794</v>
      </c>
      <c r="AM246" t="b">
        <v>0</v>
      </c>
      <c r="AN246" s="73">
        <v>41181.24747685185</v>
      </c>
      <c r="AO246" t="s">
        <v>2000</v>
      </c>
      <c r="AP246" t="s">
        <v>2215</v>
      </c>
      <c r="AY246" t="b">
        <v>0</v>
      </c>
      <c r="BB246" t="b">
        <v>1</v>
      </c>
      <c r="BC246" t="b">
        <v>1</v>
      </c>
      <c r="BD246" t="b">
        <v>1</v>
      </c>
      <c r="BE246" t="b">
        <v>0</v>
      </c>
      <c r="BF246" t="b">
        <v>1</v>
      </c>
      <c r="BG246" t="b">
        <v>0</v>
      </c>
      <c r="BH246" t="b">
        <v>0</v>
      </c>
      <c r="BI246" s="76" t="str">
        <f>HYPERLINK("https://pbs.twimg.com/profile_banners/852327811/1656251863")</f>
        <v>https://pbs.twimg.com/profile_banners/852327811/1656251863</v>
      </c>
      <c r="BK246" t="s">
        <v>2343</v>
      </c>
      <c r="BL246" t="b">
        <v>0</v>
      </c>
      <c r="BN246" t="s">
        <v>66</v>
      </c>
      <c r="BO246" t="s">
        <v>2345</v>
      </c>
      <c r="BP246" s="76" t="str">
        <f>HYPERLINK("https://twitter.com/rahmaniarbaftim")</f>
        <v>https://twitter.com/rahmaniarbaftim</v>
      </c>
      <c r="BQ246" s="44"/>
      <c r="BR246" s="44"/>
      <c r="BS246" s="44"/>
      <c r="BT246" s="44"/>
      <c r="BU246" s="44" t="s">
        <v>682</v>
      </c>
      <c r="BV246" s="44" t="s">
        <v>682</v>
      </c>
      <c r="BW246" s="95" t="s">
        <v>2457</v>
      </c>
      <c r="BX246" s="95" t="s">
        <v>2457</v>
      </c>
      <c r="BY246" s="95" t="s">
        <v>2554</v>
      </c>
      <c r="BZ246" s="95" t="s">
        <v>2554</v>
      </c>
      <c r="CA246" s="95">
        <v>1</v>
      </c>
      <c r="CB246" s="98">
        <v>4.3478260869565215</v>
      </c>
      <c r="CC246" s="95">
        <v>0</v>
      </c>
      <c r="CD246" s="98">
        <v>0</v>
      </c>
      <c r="CE246" s="95">
        <v>0</v>
      </c>
      <c r="CF246" s="98">
        <v>0</v>
      </c>
      <c r="CG246" s="95">
        <v>22</v>
      </c>
      <c r="CH246" s="98">
        <v>95.65217391304348</v>
      </c>
      <c r="CI246" s="95">
        <v>23</v>
      </c>
      <c r="CJ246" s="116" t="str">
        <f>REPLACE(INDEX(GroupVertices[Group],MATCH("~"&amp;Vertices[[#This Row],[Vertex]],GroupVertices[Vertex],0)),1,1,"")</f>
        <v>32</v>
      </c>
      <c r="CK246" s="95"/>
      <c r="CL246" s="95"/>
      <c r="CM246" s="95" t="s">
        <v>682</v>
      </c>
      <c r="CN246" s="95" t="s">
        <v>682</v>
      </c>
      <c r="CO246" s="2"/>
    </row>
    <row r="247" spans="1:93" ht="41.45" customHeight="1">
      <c r="A247" s="59" t="s">
        <v>307</v>
      </c>
      <c r="C247" s="60"/>
      <c r="D247" s="60" t="s">
        <v>64</v>
      </c>
      <c r="E247" s="61"/>
      <c r="F247" s="63"/>
      <c r="G247" s="92" t="str">
        <f>HYPERLINK("https://pbs.twimg.com/profile_images/1542792321523015680/WzFNeRy2_normal.jpg")</f>
        <v>https://pbs.twimg.com/profile_images/1542792321523015680/WzFNeRy2_normal.jpg</v>
      </c>
      <c r="H247" s="60"/>
      <c r="I247" s="64" t="str">
        <f>Vertices[[#This Row],[Vertex]]</f>
        <v>yparkjihoon</v>
      </c>
      <c r="J247" s="65"/>
      <c r="K247" s="65"/>
      <c r="L247" s="64"/>
      <c r="M247" s="68"/>
      <c r="N247" s="69">
        <v>9222.7587890625</v>
      </c>
      <c r="O247" s="69">
        <v>675.6328735351562</v>
      </c>
      <c r="P247" s="70"/>
      <c r="Q247" s="71"/>
      <c r="R247" s="71"/>
      <c r="S247" s="78"/>
      <c r="T247" s="44">
        <v>0</v>
      </c>
      <c r="U247" s="44">
        <v>1</v>
      </c>
      <c r="V247" s="45">
        <v>0</v>
      </c>
      <c r="W247" s="45">
        <v>0.003876</v>
      </c>
      <c r="X247" s="45">
        <v>0</v>
      </c>
      <c r="Y247" s="45">
        <v>0.003861</v>
      </c>
      <c r="Z247" s="45">
        <v>0</v>
      </c>
      <c r="AA247" s="45">
        <v>0</v>
      </c>
      <c r="AB247" s="66">
        <v>247</v>
      </c>
      <c r="AC2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7" s="67"/>
      <c r="AE247" t="s">
        <v>1747</v>
      </c>
      <c r="AF247" s="74" t="s">
        <v>1462</v>
      </c>
      <c r="AG247">
        <v>2892</v>
      </c>
      <c r="AH247">
        <v>2998</v>
      </c>
      <c r="AI247">
        <v>6832</v>
      </c>
      <c r="AJ247">
        <v>0</v>
      </c>
      <c r="AK247">
        <v>6767</v>
      </c>
      <c r="AL247">
        <v>249</v>
      </c>
      <c r="AM247" t="b">
        <v>0</v>
      </c>
      <c r="AN247" s="73">
        <v>43933.18696759259</v>
      </c>
      <c r="AP247" t="s">
        <v>2213</v>
      </c>
      <c r="AY247" t="b">
        <v>0</v>
      </c>
      <c r="BB247" t="b">
        <v>1</v>
      </c>
      <c r="BC247" t="b">
        <v>0</v>
      </c>
      <c r="BD247" t="b">
        <v>1</v>
      </c>
      <c r="BE247" t="b">
        <v>0</v>
      </c>
      <c r="BF247" t="b">
        <v>1</v>
      </c>
      <c r="BG247" t="b">
        <v>0</v>
      </c>
      <c r="BH247" t="b">
        <v>0</v>
      </c>
      <c r="BI247" s="76" t="str">
        <f>HYPERLINK("https://pbs.twimg.com/profile_banners/1249192745844891649/1656665591")</f>
        <v>https://pbs.twimg.com/profile_banners/1249192745844891649/1656665591</v>
      </c>
      <c r="BK247" t="s">
        <v>2343</v>
      </c>
      <c r="BL247" t="b">
        <v>0</v>
      </c>
      <c r="BN247" t="s">
        <v>66</v>
      </c>
      <c r="BO247" t="s">
        <v>2345</v>
      </c>
      <c r="BP247" s="76" t="str">
        <f>HYPERLINK("https://twitter.com/yparkjihoon")</f>
        <v>https://twitter.com/yparkjihoon</v>
      </c>
      <c r="BQ247" s="44"/>
      <c r="BR247" s="44"/>
      <c r="BS247" s="44"/>
      <c r="BT247" s="44"/>
      <c r="BU247" s="44"/>
      <c r="BV247" s="44"/>
      <c r="BW247" s="95" t="s">
        <v>11460</v>
      </c>
      <c r="BX247" s="95" t="s">
        <v>11460</v>
      </c>
      <c r="BY247" s="95" t="s">
        <v>2553</v>
      </c>
      <c r="BZ247" s="95" t="s">
        <v>2553</v>
      </c>
      <c r="CA247" s="95">
        <v>3</v>
      </c>
      <c r="CB247" s="98">
        <v>50</v>
      </c>
      <c r="CC247" s="95">
        <v>0</v>
      </c>
      <c r="CD247" s="98">
        <v>0</v>
      </c>
      <c r="CE247" s="95">
        <v>0</v>
      </c>
      <c r="CF247" s="98">
        <v>0</v>
      </c>
      <c r="CG247" s="95">
        <v>3</v>
      </c>
      <c r="CH247" s="98">
        <v>50</v>
      </c>
      <c r="CI247" s="95">
        <v>6</v>
      </c>
      <c r="CJ247" s="116" t="str">
        <f>REPLACE(INDEX(GroupVertices[Group],MATCH("~"&amp;Vertices[[#This Row],[Vertex]],GroupVertices[Vertex],0)),1,1,"")</f>
        <v>31</v>
      </c>
      <c r="CK247" s="95"/>
      <c r="CL247" s="95"/>
      <c r="CM247" s="95"/>
      <c r="CN247" s="95"/>
      <c r="CO247" s="2"/>
    </row>
    <row r="248" spans="1:93" ht="41.45" customHeight="1">
      <c r="A248" s="59" t="s">
        <v>343</v>
      </c>
      <c r="C248" s="60"/>
      <c r="D248" s="60" t="s">
        <v>64</v>
      </c>
      <c r="E248" s="61"/>
      <c r="F248" s="63"/>
      <c r="G248" s="92" t="str">
        <f>HYPERLINK("https://pbs.twimg.com/profile_images/1452431569142960128/l0UgZAaH_normal.jpg")</f>
        <v>https://pbs.twimg.com/profile_images/1452431569142960128/l0UgZAaH_normal.jpg</v>
      </c>
      <c r="H248" s="60"/>
      <c r="I248" s="64" t="str">
        <f>Vertices[[#This Row],[Vertex]]</f>
        <v>ayuannara</v>
      </c>
      <c r="J248" s="65"/>
      <c r="K248" s="65"/>
      <c r="L248" s="64"/>
      <c r="M248" s="68"/>
      <c r="N248" s="69">
        <v>9656.2080078125</v>
      </c>
      <c r="O248" s="69">
        <v>5540.0205078125</v>
      </c>
      <c r="P248" s="70"/>
      <c r="Q248" s="71"/>
      <c r="R248" s="71"/>
      <c r="S248" s="44"/>
      <c r="T248" s="44">
        <v>0</v>
      </c>
      <c r="U248" s="44">
        <v>1</v>
      </c>
      <c r="V248" s="45">
        <v>0</v>
      </c>
      <c r="W248" s="45">
        <v>0.003876</v>
      </c>
      <c r="X248" s="45">
        <v>0</v>
      </c>
      <c r="Y248" s="45">
        <v>0.003861</v>
      </c>
      <c r="Z248" s="45">
        <v>0</v>
      </c>
      <c r="AA248" s="45">
        <v>0</v>
      </c>
      <c r="AB248" s="66">
        <v>248</v>
      </c>
      <c r="AC2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8" s="67"/>
      <c r="AE248" t="s">
        <v>1800</v>
      </c>
      <c r="AF248" s="74" t="s">
        <v>1478</v>
      </c>
      <c r="AG248">
        <v>863</v>
      </c>
      <c r="AH248">
        <v>1608</v>
      </c>
      <c r="AI248">
        <v>3453</v>
      </c>
      <c r="AJ248">
        <v>0</v>
      </c>
      <c r="AK248">
        <v>0</v>
      </c>
      <c r="AL248">
        <v>498</v>
      </c>
      <c r="AM248" t="b">
        <v>0</v>
      </c>
      <c r="AN248" s="73">
        <v>44489.42543981481</v>
      </c>
      <c r="AY248" t="b">
        <v>0</v>
      </c>
      <c r="BB248" t="b">
        <v>0</v>
      </c>
      <c r="BC248" t="b">
        <v>1</v>
      </c>
      <c r="BD248" t="b">
        <v>1</v>
      </c>
      <c r="BE248" t="b">
        <v>0</v>
      </c>
      <c r="BF248" t="b">
        <v>0</v>
      </c>
      <c r="BG248" t="b">
        <v>0</v>
      </c>
      <c r="BH248" t="b">
        <v>0</v>
      </c>
      <c r="BK248" t="s">
        <v>2343</v>
      </c>
      <c r="BL248" t="b">
        <v>0</v>
      </c>
      <c r="BN248" t="s">
        <v>66</v>
      </c>
      <c r="BO248" t="s">
        <v>2345</v>
      </c>
      <c r="BP248" s="76" t="str">
        <f>HYPERLINK("https://twitter.com/ayuannara")</f>
        <v>https://twitter.com/ayuannara</v>
      </c>
      <c r="BQ248" s="44"/>
      <c r="BR248" s="44"/>
      <c r="BS248" s="44"/>
      <c r="BT248" s="44"/>
      <c r="BU248" s="44"/>
      <c r="BV248" s="44"/>
      <c r="BW248" s="95" t="s">
        <v>11461</v>
      </c>
      <c r="BX248" s="95" t="s">
        <v>11461</v>
      </c>
      <c r="BY248" s="95" t="s">
        <v>2479</v>
      </c>
      <c r="BZ248" s="95" t="s">
        <v>2479</v>
      </c>
      <c r="CA248" s="95">
        <v>5</v>
      </c>
      <c r="CB248" s="98">
        <v>33.333333333333336</v>
      </c>
      <c r="CC248" s="95">
        <v>4</v>
      </c>
      <c r="CD248" s="98">
        <v>26.666666666666668</v>
      </c>
      <c r="CE248" s="95">
        <v>0</v>
      </c>
      <c r="CF248" s="98">
        <v>0</v>
      </c>
      <c r="CG248" s="95">
        <v>6</v>
      </c>
      <c r="CH248" s="98">
        <v>40</v>
      </c>
      <c r="CI248" s="95">
        <v>15</v>
      </c>
      <c r="CJ248" s="116" t="str">
        <f>REPLACE(INDEX(GroupVertices[Group],MATCH("~"&amp;Vertices[[#This Row],[Vertex]],GroupVertices[Vertex],0)),1,1,"")</f>
        <v>25</v>
      </c>
      <c r="CK248" s="95"/>
      <c r="CL248" s="95"/>
      <c r="CM248" s="95"/>
      <c r="CN248" s="95"/>
      <c r="CO248" s="2"/>
    </row>
    <row r="249" spans="1:93" ht="41.45" customHeight="1">
      <c r="A249" s="59" t="s">
        <v>325</v>
      </c>
      <c r="C249" s="60"/>
      <c r="D249" s="60" t="s">
        <v>64</v>
      </c>
      <c r="E249" s="61"/>
      <c r="F249" s="63"/>
      <c r="G249" s="92" t="str">
        <f>HYPERLINK("https://pbs.twimg.com/profile_images/1410778214335619073/BBsUoxG1_normal.jpg")</f>
        <v>https://pbs.twimg.com/profile_images/1410778214335619073/BBsUoxG1_normal.jpg</v>
      </c>
      <c r="H249" s="60"/>
      <c r="I249" s="64" t="str">
        <f>Vertices[[#This Row],[Vertex]]</f>
        <v>presedentbuzzer</v>
      </c>
      <c r="J249" s="65"/>
      <c r="K249" s="65"/>
      <c r="L249" s="64"/>
      <c r="M249" s="68"/>
      <c r="N249" s="69">
        <v>8430.595703125</v>
      </c>
      <c r="O249" s="69">
        <v>2229.51220703125</v>
      </c>
      <c r="P249" s="70"/>
      <c r="Q249" s="71"/>
      <c r="R249" s="71"/>
      <c r="S249" s="78"/>
      <c r="T249" s="44">
        <v>0</v>
      </c>
      <c r="U249" s="44">
        <v>1</v>
      </c>
      <c r="V249" s="45">
        <v>0</v>
      </c>
      <c r="W249" s="45">
        <v>0.003876</v>
      </c>
      <c r="X249" s="45">
        <v>0</v>
      </c>
      <c r="Y249" s="45">
        <v>0.003592</v>
      </c>
      <c r="Z249" s="45">
        <v>0</v>
      </c>
      <c r="AA249" s="45">
        <v>0</v>
      </c>
      <c r="AB249" s="66">
        <v>249</v>
      </c>
      <c r="AC2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9" s="67"/>
      <c r="AE249" t="s">
        <v>1772</v>
      </c>
      <c r="AF249" s="74" t="s">
        <v>1472</v>
      </c>
      <c r="AG249">
        <v>581</v>
      </c>
      <c r="AH249">
        <v>669</v>
      </c>
      <c r="AI249">
        <v>16645</v>
      </c>
      <c r="AJ249">
        <v>1</v>
      </c>
      <c r="AK249">
        <v>20923</v>
      </c>
      <c r="AL249">
        <v>914</v>
      </c>
      <c r="AM249" t="b">
        <v>0</v>
      </c>
      <c r="AN249" s="73">
        <v>43033.79377314815</v>
      </c>
      <c r="AP249" t="s">
        <v>2235</v>
      </c>
      <c r="AQ249" s="76" t="str">
        <f>HYPERLINK("https://t.co/H61dAKA1AY")</f>
        <v>https://t.co/H61dAKA1AY</v>
      </c>
      <c r="AR249" s="76" t="str">
        <f>HYPERLINK("http://bit.ly/Amin1Putaran")</f>
        <v>http://bit.ly/Amin1Putaran</v>
      </c>
      <c r="AS249" t="s">
        <v>2321</v>
      </c>
      <c r="AW249">
        <v>1.47287162936972E+18</v>
      </c>
      <c r="AX249" s="76" t="str">
        <f>HYPERLINK("https://t.co/H61dAKA1AY")</f>
        <v>https://t.co/H61dAKA1AY</v>
      </c>
      <c r="AY249" t="b">
        <v>0</v>
      </c>
      <c r="BB249" t="b">
        <v>0</v>
      </c>
      <c r="BC249" t="b">
        <v>0</v>
      </c>
      <c r="BD249" t="b">
        <v>1</v>
      </c>
      <c r="BE249" t="b">
        <v>0</v>
      </c>
      <c r="BF249" t="b">
        <v>0</v>
      </c>
      <c r="BG249" t="b">
        <v>0</v>
      </c>
      <c r="BH249" t="b">
        <v>0</v>
      </c>
      <c r="BI249" s="76" t="str">
        <f>HYPERLINK("https://pbs.twimg.com/profile_banners/923263651368202240/1670833352")</f>
        <v>https://pbs.twimg.com/profile_banners/923263651368202240/1670833352</v>
      </c>
      <c r="BK249" t="s">
        <v>2343</v>
      </c>
      <c r="BL249" t="b">
        <v>0</v>
      </c>
      <c r="BN249" t="s">
        <v>66</v>
      </c>
      <c r="BO249" t="s">
        <v>2345</v>
      </c>
      <c r="BP249" s="76" t="str">
        <f>HYPERLINK("https://twitter.com/presedentbuzzer")</f>
        <v>https://twitter.com/presedentbuzzer</v>
      </c>
      <c r="BQ249" s="44"/>
      <c r="BR249" s="44"/>
      <c r="BS249" s="44"/>
      <c r="BT249" s="44"/>
      <c r="BU249" s="44"/>
      <c r="BV249" s="44"/>
      <c r="BW249" s="95" t="s">
        <v>11462</v>
      </c>
      <c r="BX249" s="95" t="s">
        <v>11462</v>
      </c>
      <c r="BY249" s="95" t="s">
        <v>2567</v>
      </c>
      <c r="BZ249" s="95" t="s">
        <v>2567</v>
      </c>
      <c r="CA249" s="95">
        <v>4</v>
      </c>
      <c r="CB249" s="98">
        <v>80</v>
      </c>
      <c r="CC249" s="95">
        <v>0</v>
      </c>
      <c r="CD249" s="98">
        <v>0</v>
      </c>
      <c r="CE249" s="95">
        <v>0</v>
      </c>
      <c r="CF249" s="98">
        <v>0</v>
      </c>
      <c r="CG249" s="95">
        <v>1</v>
      </c>
      <c r="CH249" s="98">
        <v>20</v>
      </c>
      <c r="CI249" s="95">
        <v>5</v>
      </c>
      <c r="CJ249" s="116" t="str">
        <f>REPLACE(INDEX(GroupVertices[Group],MATCH("~"&amp;Vertices[[#This Row],[Vertex]],GroupVertices[Vertex],0)),1,1,"")</f>
        <v>37</v>
      </c>
      <c r="CK249" s="95"/>
      <c r="CL249" s="95"/>
      <c r="CM249" s="95"/>
      <c r="CN249" s="95"/>
      <c r="CO249" s="2"/>
    </row>
    <row r="250" spans="1:93" ht="41.45" customHeight="1">
      <c r="A250" s="59" t="s">
        <v>293</v>
      </c>
      <c r="C250" s="60"/>
      <c r="D250" s="60" t="s">
        <v>64</v>
      </c>
      <c r="E250" s="61"/>
      <c r="F250" s="63"/>
      <c r="G250" s="92" t="str">
        <f>HYPERLINK("https://pbs.twimg.com/profile_images/1692564893118164992/I-c6NE3F_normal.jpg")</f>
        <v>https://pbs.twimg.com/profile_images/1692564893118164992/I-c6NE3F_normal.jpg</v>
      </c>
      <c r="H250" s="60"/>
      <c r="I250" s="64" t="str">
        <f>Vertices[[#This Row],[Vertex]]</f>
        <v>marieberubah</v>
      </c>
      <c r="J250" s="65"/>
      <c r="K250" s="65"/>
      <c r="L250" s="64"/>
      <c r="M250" s="68"/>
      <c r="N250" s="69">
        <v>9838.3408203125</v>
      </c>
      <c r="O250" s="69">
        <v>675.6253051757812</v>
      </c>
      <c r="P250" s="70"/>
      <c r="Q250" s="71"/>
      <c r="R250" s="71"/>
      <c r="S250" s="78"/>
      <c r="T250" s="44">
        <v>0</v>
      </c>
      <c r="U250" s="44">
        <v>1</v>
      </c>
      <c r="V250" s="45">
        <v>0</v>
      </c>
      <c r="W250" s="45">
        <v>0.003876</v>
      </c>
      <c r="X250" s="45">
        <v>0</v>
      </c>
      <c r="Y250" s="45">
        <v>0.003861</v>
      </c>
      <c r="Z250" s="45">
        <v>0</v>
      </c>
      <c r="AA250" s="45">
        <v>0</v>
      </c>
      <c r="AB250" s="66">
        <v>250</v>
      </c>
      <c r="AC2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0" s="67"/>
      <c r="AE250" t="s">
        <v>1729</v>
      </c>
      <c r="AF250" s="74" t="s">
        <v>1896</v>
      </c>
      <c r="AG250">
        <v>412</v>
      </c>
      <c r="AH250">
        <v>3261</v>
      </c>
      <c r="AI250">
        <v>4977</v>
      </c>
      <c r="AJ250">
        <v>3</v>
      </c>
      <c r="AK250">
        <v>1292</v>
      </c>
      <c r="AL250">
        <v>80</v>
      </c>
      <c r="AM250" t="b">
        <v>0</v>
      </c>
      <c r="AN250" s="73">
        <v>41087.49555555556</v>
      </c>
      <c r="AO250" t="s">
        <v>1994</v>
      </c>
      <c r="AP250" t="s">
        <v>2195</v>
      </c>
      <c r="AY250" t="b">
        <v>0</v>
      </c>
      <c r="BB250" t="b">
        <v>0</v>
      </c>
      <c r="BC250" t="b">
        <v>1</v>
      </c>
      <c r="BD250" t="b">
        <v>0</v>
      </c>
      <c r="BE250" t="b">
        <v>0</v>
      </c>
      <c r="BF250" t="b">
        <v>0</v>
      </c>
      <c r="BG250" t="b">
        <v>0</v>
      </c>
      <c r="BH250" t="b">
        <v>0</v>
      </c>
      <c r="BI250" s="76" t="str">
        <f>HYPERLINK("https://pbs.twimg.com/profile_banners/620006235/1652927097")</f>
        <v>https://pbs.twimg.com/profile_banners/620006235/1652927097</v>
      </c>
      <c r="BK250" t="s">
        <v>2343</v>
      </c>
      <c r="BL250" t="b">
        <v>0</v>
      </c>
      <c r="BN250" t="s">
        <v>66</v>
      </c>
      <c r="BO250" t="s">
        <v>2345</v>
      </c>
      <c r="BP250" s="76" t="str">
        <f>HYPERLINK("https://twitter.com/marieberubah")</f>
        <v>https://twitter.com/marieberubah</v>
      </c>
      <c r="BQ250" s="44" t="s">
        <v>2352</v>
      </c>
      <c r="BR250" s="44" t="s">
        <v>2352</v>
      </c>
      <c r="BS250" s="44" t="s">
        <v>717</v>
      </c>
      <c r="BT250" s="44" t="s">
        <v>717</v>
      </c>
      <c r="BU250" s="44"/>
      <c r="BV250" s="44"/>
      <c r="BW250" s="95" t="s">
        <v>11463</v>
      </c>
      <c r="BX250" s="95" t="s">
        <v>11463</v>
      </c>
      <c r="BY250" s="95" t="s">
        <v>2540</v>
      </c>
      <c r="BZ250" s="95" t="s">
        <v>2540</v>
      </c>
      <c r="CA250" s="95">
        <v>3</v>
      </c>
      <c r="CB250" s="98">
        <v>27.272727272727273</v>
      </c>
      <c r="CC250" s="95">
        <v>0</v>
      </c>
      <c r="CD250" s="98">
        <v>0</v>
      </c>
      <c r="CE250" s="95">
        <v>0</v>
      </c>
      <c r="CF250" s="98">
        <v>0</v>
      </c>
      <c r="CG250" s="95">
        <v>8</v>
      </c>
      <c r="CH250" s="98">
        <v>72.72727272727273</v>
      </c>
      <c r="CI250" s="95">
        <v>11</v>
      </c>
      <c r="CJ250" s="116" t="str">
        <f>REPLACE(INDEX(GroupVertices[Group],MATCH("~"&amp;Vertices[[#This Row],[Vertex]],GroupVertices[Vertex],0)),1,1,"")</f>
        <v>30</v>
      </c>
      <c r="CK250" s="95" t="s">
        <v>2352</v>
      </c>
      <c r="CL250" s="95" t="s">
        <v>2352</v>
      </c>
      <c r="CM250" s="95"/>
      <c r="CN250" s="95"/>
      <c r="CO250" s="2"/>
    </row>
    <row r="251" spans="1:93" ht="41.45" customHeight="1">
      <c r="A251" s="59" t="s">
        <v>233</v>
      </c>
      <c r="C251" s="60"/>
      <c r="D251" s="60" t="s">
        <v>64</v>
      </c>
      <c r="E251" s="61"/>
      <c r="F251" s="63"/>
      <c r="G251" s="92" t="str">
        <f>HYPERLINK("https://pbs.twimg.com/profile_images/1522229080187301888/2PJxLPXc_normal.jpg")</f>
        <v>https://pbs.twimg.com/profile_images/1522229080187301888/2PJxLPXc_normal.jpg</v>
      </c>
      <c r="H251" s="60"/>
      <c r="I251" s="64" t="str">
        <f>Vertices[[#This Row],[Vertex]]</f>
        <v>elzusmar3</v>
      </c>
      <c r="J251" s="65"/>
      <c r="K251" s="65"/>
      <c r="L251" s="64"/>
      <c r="M251" s="68"/>
      <c r="N251" s="69">
        <v>8815.9931640625</v>
      </c>
      <c r="O251" s="69">
        <v>2522.246337890625</v>
      </c>
      <c r="P251" s="70"/>
      <c r="Q251" s="71"/>
      <c r="R251" s="71"/>
      <c r="S251" s="78"/>
      <c r="T251" s="44">
        <v>0</v>
      </c>
      <c r="U251" s="44">
        <v>1</v>
      </c>
      <c r="V251" s="45">
        <v>0</v>
      </c>
      <c r="W251" s="45">
        <v>0.003876</v>
      </c>
      <c r="X251" s="45">
        <v>0</v>
      </c>
      <c r="Y251" s="45">
        <v>0.003592</v>
      </c>
      <c r="Z251" s="45">
        <v>0</v>
      </c>
      <c r="AA251" s="45">
        <v>0</v>
      </c>
      <c r="AB251" s="66">
        <v>251</v>
      </c>
      <c r="AC2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1" s="67"/>
      <c r="AE251" t="s">
        <v>1560</v>
      </c>
      <c r="AF251" s="74" t="s">
        <v>1409</v>
      </c>
      <c r="AG251">
        <v>228</v>
      </c>
      <c r="AH251">
        <v>493</v>
      </c>
      <c r="AI251">
        <v>3743</v>
      </c>
      <c r="AJ251">
        <v>0</v>
      </c>
      <c r="AK251">
        <v>43685</v>
      </c>
      <c r="AL251">
        <v>0</v>
      </c>
      <c r="AM251" t="b">
        <v>0</v>
      </c>
      <c r="AN251" s="73">
        <v>43610.614594907405</v>
      </c>
      <c r="AP251" t="s">
        <v>2045</v>
      </c>
      <c r="AY251" t="b">
        <v>0</v>
      </c>
      <c r="BB251" t="b">
        <v>0</v>
      </c>
      <c r="BC251" t="b">
        <v>1</v>
      </c>
      <c r="BD251" t="b">
        <v>1</v>
      </c>
      <c r="BE251" t="b">
        <v>0</v>
      </c>
      <c r="BF251" t="b">
        <v>1</v>
      </c>
      <c r="BG251" t="b">
        <v>0</v>
      </c>
      <c r="BH251" t="b">
        <v>0</v>
      </c>
      <c r="BK251" t="s">
        <v>2343</v>
      </c>
      <c r="BL251" t="b">
        <v>0</v>
      </c>
      <c r="BN251" t="s">
        <v>66</v>
      </c>
      <c r="BO251" t="s">
        <v>2345</v>
      </c>
      <c r="BP251" s="76" t="str">
        <f>HYPERLINK("https://twitter.com/elzusmar3")</f>
        <v>https://twitter.com/elzusmar3</v>
      </c>
      <c r="BQ251" s="44"/>
      <c r="BR251" s="44"/>
      <c r="BS251" s="44"/>
      <c r="BT251" s="44"/>
      <c r="BU251" s="44" t="s">
        <v>2363</v>
      </c>
      <c r="BV251" s="44" t="s">
        <v>2363</v>
      </c>
      <c r="BW251" s="95" t="s">
        <v>11464</v>
      </c>
      <c r="BX251" s="95" t="s">
        <v>11464</v>
      </c>
      <c r="BY251" s="95" t="s">
        <v>2493</v>
      </c>
      <c r="BZ251" s="95" t="s">
        <v>2493</v>
      </c>
      <c r="CA251" s="95">
        <v>4</v>
      </c>
      <c r="CB251" s="98">
        <v>40</v>
      </c>
      <c r="CC251" s="95">
        <v>1</v>
      </c>
      <c r="CD251" s="98">
        <v>10</v>
      </c>
      <c r="CE251" s="95">
        <v>0</v>
      </c>
      <c r="CF251" s="98">
        <v>0</v>
      </c>
      <c r="CG251" s="95">
        <v>5</v>
      </c>
      <c r="CH251" s="98">
        <v>50</v>
      </c>
      <c r="CI251" s="95">
        <v>10</v>
      </c>
      <c r="CJ251" s="116" t="str">
        <f>REPLACE(INDEX(GroupVertices[Group],MATCH("~"&amp;Vertices[[#This Row],[Vertex]],GroupVertices[Vertex],0)),1,1,"")</f>
        <v>39</v>
      </c>
      <c r="CK251" s="95"/>
      <c r="CL251" s="95"/>
      <c r="CM251" s="95" t="s">
        <v>2363</v>
      </c>
      <c r="CN251" s="95" t="s">
        <v>2363</v>
      </c>
      <c r="CO251" s="2"/>
    </row>
    <row r="252" spans="1:93" ht="41.45" customHeight="1">
      <c r="A252" s="59" t="s">
        <v>296</v>
      </c>
      <c r="C252" s="60"/>
      <c r="D252" s="60" t="s">
        <v>64</v>
      </c>
      <c r="E252" s="61"/>
      <c r="F252" s="63"/>
      <c r="G252" s="92" t="str">
        <f>HYPERLINK("https://pbs.twimg.com/profile_images/1715725600445603840/Asg-oRZQ_normal.jpg")</f>
        <v>https://pbs.twimg.com/profile_images/1715725600445603840/Asg-oRZQ_normal.jpg</v>
      </c>
      <c r="H252" s="60"/>
      <c r="I252" s="64" t="str">
        <f>Vertices[[#This Row],[Vertex]]</f>
        <v>rakyatkecik</v>
      </c>
      <c r="J252" s="65"/>
      <c r="K252" s="65"/>
      <c r="L252" s="64"/>
      <c r="M252" s="68"/>
      <c r="N252" s="69">
        <v>8136.18408203125</v>
      </c>
      <c r="O252" s="69">
        <v>1553.9132080078125</v>
      </c>
      <c r="P252" s="70"/>
      <c r="Q252" s="71"/>
      <c r="R252" s="71"/>
      <c r="S252" s="78"/>
      <c r="T252" s="44">
        <v>0</v>
      </c>
      <c r="U252" s="44">
        <v>1</v>
      </c>
      <c r="V252" s="45">
        <v>0</v>
      </c>
      <c r="W252" s="45">
        <v>0.003876</v>
      </c>
      <c r="X252" s="45">
        <v>0</v>
      </c>
      <c r="Y252" s="45">
        <v>0.003861</v>
      </c>
      <c r="Z252" s="45">
        <v>0</v>
      </c>
      <c r="AA252" s="45">
        <v>0</v>
      </c>
      <c r="AB252" s="66">
        <v>252</v>
      </c>
      <c r="AC2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2" s="67"/>
      <c r="AE252" t="s">
        <v>1735</v>
      </c>
      <c r="AF252" s="74" t="s">
        <v>1900</v>
      </c>
      <c r="AG252">
        <v>157</v>
      </c>
      <c r="AH252">
        <v>1029</v>
      </c>
      <c r="AI252">
        <v>2448</v>
      </c>
      <c r="AJ252">
        <v>0</v>
      </c>
      <c r="AK252">
        <v>7905</v>
      </c>
      <c r="AL252">
        <v>155</v>
      </c>
      <c r="AM252" t="b">
        <v>0</v>
      </c>
      <c r="AN252" s="73">
        <v>40036.14444444444</v>
      </c>
      <c r="AP252" t="s">
        <v>2202</v>
      </c>
      <c r="AW252">
        <v>1.67749358159307E+18</v>
      </c>
      <c r="AY252" t="b">
        <v>0</v>
      </c>
      <c r="BB252" t="b">
        <v>0</v>
      </c>
      <c r="BC252" t="b">
        <v>0</v>
      </c>
      <c r="BD252" t="b">
        <v>0</v>
      </c>
      <c r="BE252" t="b">
        <v>0</v>
      </c>
      <c r="BF252" t="b">
        <v>1</v>
      </c>
      <c r="BG252" t="b">
        <v>0</v>
      </c>
      <c r="BH252" t="b">
        <v>0</v>
      </c>
      <c r="BI252" s="76" t="str">
        <f>HYPERLINK("https://pbs.twimg.com/profile_banners/64611930/1694590906")</f>
        <v>https://pbs.twimg.com/profile_banners/64611930/1694590906</v>
      </c>
      <c r="BK252" t="s">
        <v>2343</v>
      </c>
      <c r="BL252" t="b">
        <v>0</v>
      </c>
      <c r="BN252" t="s">
        <v>66</v>
      </c>
      <c r="BO252" t="s">
        <v>2345</v>
      </c>
      <c r="BP252" s="76" t="str">
        <f>HYPERLINK("https://twitter.com/rakyatkecik")</f>
        <v>https://twitter.com/rakyatkecik</v>
      </c>
      <c r="BQ252" s="44"/>
      <c r="BR252" s="44"/>
      <c r="BS252" s="44"/>
      <c r="BT252" s="44"/>
      <c r="BU252" s="44"/>
      <c r="BV252" s="44"/>
      <c r="BW252" s="95" t="s">
        <v>11465</v>
      </c>
      <c r="BX252" s="95" t="s">
        <v>11465</v>
      </c>
      <c r="BY252" s="95" t="s">
        <v>2543</v>
      </c>
      <c r="BZ252" s="95" t="s">
        <v>2543</v>
      </c>
      <c r="CA252" s="95">
        <v>3</v>
      </c>
      <c r="CB252" s="98">
        <v>60</v>
      </c>
      <c r="CC252" s="95">
        <v>0</v>
      </c>
      <c r="CD252" s="98">
        <v>0</v>
      </c>
      <c r="CE252" s="95">
        <v>0</v>
      </c>
      <c r="CF252" s="98">
        <v>0</v>
      </c>
      <c r="CG252" s="95">
        <v>2</v>
      </c>
      <c r="CH252" s="98">
        <v>40</v>
      </c>
      <c r="CI252" s="95">
        <v>5</v>
      </c>
      <c r="CJ252" s="116" t="str">
        <f>REPLACE(INDEX(GroupVertices[Group],MATCH("~"&amp;Vertices[[#This Row],[Vertex]],GroupVertices[Vertex],0)),1,1,"")</f>
        <v>34</v>
      </c>
      <c r="CK252" s="95"/>
      <c r="CL252" s="95"/>
      <c r="CM252" s="95"/>
      <c r="CN252" s="95"/>
      <c r="CO252" s="2"/>
    </row>
    <row r="253" spans="1:93" ht="41.45" customHeight="1">
      <c r="A253" s="59" t="s">
        <v>266</v>
      </c>
      <c r="C253" s="60"/>
      <c r="D253" s="60" t="s">
        <v>64</v>
      </c>
      <c r="E253" s="61"/>
      <c r="F253" s="63"/>
      <c r="G253" s="92" t="str">
        <f>HYPERLINK("https://pbs.twimg.com/profile_images/1399507854726352900/o8qYsw4y_normal.jpg")</f>
        <v>https://pbs.twimg.com/profile_images/1399507854726352900/o8qYsw4y_normal.jpg</v>
      </c>
      <c r="H253" s="60"/>
      <c r="I253" s="64" t="str">
        <f>Vertices[[#This Row],[Vertex]]</f>
        <v>takon_wong</v>
      </c>
      <c r="J253" s="65"/>
      <c r="K253" s="65"/>
      <c r="L253" s="64"/>
      <c r="M253" s="68"/>
      <c r="N253" s="69">
        <v>8136.1728515625</v>
      </c>
      <c r="O253" s="69">
        <v>4684.22509765625</v>
      </c>
      <c r="P253" s="70"/>
      <c r="Q253" s="71"/>
      <c r="R253" s="71"/>
      <c r="S253" s="78"/>
      <c r="T253" s="44">
        <v>0</v>
      </c>
      <c r="U253" s="44">
        <v>1</v>
      </c>
      <c r="V253" s="45">
        <v>0</v>
      </c>
      <c r="W253" s="45">
        <v>0.003876</v>
      </c>
      <c r="X253" s="45">
        <v>0</v>
      </c>
      <c r="Y253" s="45">
        <v>0.003861</v>
      </c>
      <c r="Z253" s="45">
        <v>0</v>
      </c>
      <c r="AA253" s="45">
        <v>0</v>
      </c>
      <c r="AB253" s="66">
        <v>253</v>
      </c>
      <c r="AC2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3" s="67"/>
      <c r="AE253" t="s">
        <v>1628</v>
      </c>
      <c r="AF253" s="74" t="s">
        <v>1434</v>
      </c>
      <c r="AG253">
        <v>125</v>
      </c>
      <c r="AH253">
        <v>250</v>
      </c>
      <c r="AI253">
        <v>5764</v>
      </c>
      <c r="AJ253">
        <v>0</v>
      </c>
      <c r="AK253">
        <v>20151</v>
      </c>
      <c r="AL253">
        <v>878</v>
      </c>
      <c r="AM253" t="b">
        <v>0</v>
      </c>
      <c r="AN253" s="73">
        <v>44347.37863425926</v>
      </c>
      <c r="AY253" t="b">
        <v>0</v>
      </c>
      <c r="BB253" t="b">
        <v>0</v>
      </c>
      <c r="BC253" t="b">
        <v>1</v>
      </c>
      <c r="BD253" t="b">
        <v>1</v>
      </c>
      <c r="BE253" t="b">
        <v>0</v>
      </c>
      <c r="BF253" t="b">
        <v>0</v>
      </c>
      <c r="BG253" t="b">
        <v>0</v>
      </c>
      <c r="BH253" t="b">
        <v>0</v>
      </c>
      <c r="BK253" t="s">
        <v>2343</v>
      </c>
      <c r="BL253" t="b">
        <v>0</v>
      </c>
      <c r="BN253" t="s">
        <v>66</v>
      </c>
      <c r="BO253" t="s">
        <v>2345</v>
      </c>
      <c r="BP253" s="76" t="str">
        <f>HYPERLINK("https://twitter.com/takon_wong")</f>
        <v>https://twitter.com/takon_wong</v>
      </c>
      <c r="BQ253" s="44"/>
      <c r="BR253" s="44"/>
      <c r="BS253" s="44"/>
      <c r="BT253" s="44"/>
      <c r="BU253" s="44"/>
      <c r="BV253" s="44"/>
      <c r="BW253" s="95" t="s">
        <v>11466</v>
      </c>
      <c r="BX253" s="95" t="s">
        <v>11466</v>
      </c>
      <c r="BY253" s="95" t="s">
        <v>2521</v>
      </c>
      <c r="BZ253" s="95" t="s">
        <v>2521</v>
      </c>
      <c r="CA253" s="95">
        <v>3</v>
      </c>
      <c r="CB253" s="98">
        <v>15.789473684210526</v>
      </c>
      <c r="CC253" s="95">
        <v>1</v>
      </c>
      <c r="CD253" s="98">
        <v>5.2631578947368425</v>
      </c>
      <c r="CE253" s="95">
        <v>0</v>
      </c>
      <c r="CF253" s="98">
        <v>0</v>
      </c>
      <c r="CG253" s="95">
        <v>15</v>
      </c>
      <c r="CH253" s="98">
        <v>78.94736842105263</v>
      </c>
      <c r="CI253" s="95">
        <v>19</v>
      </c>
      <c r="CJ253" s="116" t="str">
        <f>REPLACE(INDEX(GroupVertices[Group],MATCH("~"&amp;Vertices[[#This Row],[Vertex]],GroupVertices[Vertex],0)),1,1,"")</f>
        <v>36</v>
      </c>
      <c r="CK253" s="95"/>
      <c r="CL253" s="95"/>
      <c r="CM253" s="95"/>
      <c r="CN253" s="95"/>
      <c r="CO253" s="2"/>
    </row>
    <row r="254" spans="1:93" ht="41.45" customHeight="1">
      <c r="A254" s="59" t="s">
        <v>311</v>
      </c>
      <c r="C254" s="60"/>
      <c r="D254" s="60" t="s">
        <v>64</v>
      </c>
      <c r="E254" s="61"/>
      <c r="F254" s="63"/>
      <c r="G254" s="92" t="str">
        <f>HYPERLINK("https://pbs.twimg.com/profile_images/1575753227819454464/R35AW501_normal.jpg")</f>
        <v>https://pbs.twimg.com/profile_images/1575753227819454464/R35AW501_normal.jpg</v>
      </c>
      <c r="H254" s="60"/>
      <c r="I254" s="64" t="str">
        <f>Vertices[[#This Row],[Vertex]]</f>
        <v>anjariuss</v>
      </c>
      <c r="J254" s="65"/>
      <c r="K254" s="65"/>
      <c r="L254" s="64"/>
      <c r="M254" s="68"/>
      <c r="N254" s="69">
        <v>8591.158203125</v>
      </c>
      <c r="O254" s="69">
        <v>1846.651123046875</v>
      </c>
      <c r="P254" s="70"/>
      <c r="Q254" s="71"/>
      <c r="R254" s="71"/>
      <c r="S254" s="78"/>
      <c r="T254" s="44">
        <v>0</v>
      </c>
      <c r="U254" s="44">
        <v>1</v>
      </c>
      <c r="V254" s="45">
        <v>0</v>
      </c>
      <c r="W254" s="45">
        <v>0.003876</v>
      </c>
      <c r="X254" s="45">
        <v>0</v>
      </c>
      <c r="Y254" s="45">
        <v>0.003861</v>
      </c>
      <c r="Z254" s="45">
        <v>0</v>
      </c>
      <c r="AA254" s="45">
        <v>0</v>
      </c>
      <c r="AB254" s="66">
        <v>254</v>
      </c>
      <c r="AC2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4" s="67"/>
      <c r="AE254" t="s">
        <v>1752</v>
      </c>
      <c r="AF254" s="74" t="s">
        <v>1464</v>
      </c>
      <c r="AG254">
        <v>85</v>
      </c>
      <c r="AH254">
        <v>738</v>
      </c>
      <c r="AI254">
        <v>2769</v>
      </c>
      <c r="AJ254">
        <v>6</v>
      </c>
      <c r="AK254">
        <v>870</v>
      </c>
      <c r="AL254">
        <v>124</v>
      </c>
      <c r="AM254" t="b">
        <v>0</v>
      </c>
      <c r="AN254" s="73">
        <v>43479.532222222224</v>
      </c>
      <c r="AO254" t="s">
        <v>2001</v>
      </c>
      <c r="AP254" t="s">
        <v>2219</v>
      </c>
      <c r="AY254" t="b">
        <v>0</v>
      </c>
      <c r="BB254" t="b">
        <v>0</v>
      </c>
      <c r="BC254" t="b">
        <v>0</v>
      </c>
      <c r="BD254" t="b">
        <v>1</v>
      </c>
      <c r="BE254" t="b">
        <v>0</v>
      </c>
      <c r="BF254" t="b">
        <v>1</v>
      </c>
      <c r="BG254" t="b">
        <v>0</v>
      </c>
      <c r="BH254" t="b">
        <v>0</v>
      </c>
      <c r="BK254" t="s">
        <v>2343</v>
      </c>
      <c r="BL254" t="b">
        <v>0</v>
      </c>
      <c r="BN254" t="s">
        <v>66</v>
      </c>
      <c r="BO254" t="s">
        <v>2345</v>
      </c>
      <c r="BP254" s="76" t="str">
        <f>HYPERLINK("https://twitter.com/anjariuss")</f>
        <v>https://twitter.com/anjariuss</v>
      </c>
      <c r="BQ254" s="44"/>
      <c r="BR254" s="44"/>
      <c r="BS254" s="44"/>
      <c r="BT254" s="44"/>
      <c r="BU254" s="44"/>
      <c r="BV254" s="44"/>
      <c r="BW254" s="95" t="s">
        <v>2459</v>
      </c>
      <c r="BX254" s="95" t="s">
        <v>2459</v>
      </c>
      <c r="BY254" s="95" t="s">
        <v>2557</v>
      </c>
      <c r="BZ254" s="95" t="s">
        <v>2557</v>
      </c>
      <c r="CA254" s="95">
        <v>8</v>
      </c>
      <c r="CB254" s="98">
        <v>23.529411764705884</v>
      </c>
      <c r="CC254" s="95">
        <v>0</v>
      </c>
      <c r="CD254" s="98">
        <v>0</v>
      </c>
      <c r="CE254" s="95">
        <v>0</v>
      </c>
      <c r="CF254" s="98">
        <v>0</v>
      </c>
      <c r="CG254" s="95">
        <v>26</v>
      </c>
      <c r="CH254" s="98">
        <v>76.47058823529412</v>
      </c>
      <c r="CI254" s="95">
        <v>34</v>
      </c>
      <c r="CJ254" s="116" t="str">
        <f>REPLACE(INDEX(GroupVertices[Group],MATCH("~"&amp;Vertices[[#This Row],[Vertex]],GroupVertices[Vertex],0)),1,1,"")</f>
        <v>33</v>
      </c>
      <c r="CK254" s="95"/>
      <c r="CL254" s="95"/>
      <c r="CM254" s="95"/>
      <c r="CN254" s="95"/>
      <c r="CO254" s="2"/>
    </row>
    <row r="255" spans="1:93" ht="41.45" customHeight="1">
      <c r="A255" s="59" t="s">
        <v>265</v>
      </c>
      <c r="C255" s="60"/>
      <c r="D255" s="60" t="s">
        <v>64</v>
      </c>
      <c r="E255" s="61"/>
      <c r="F255" s="63"/>
      <c r="G255" s="92" t="str">
        <f>HYPERLINK("https://pbs.twimg.com/profile_images/1332673855308013568/LPphjciL_normal.jpg")</f>
        <v>https://pbs.twimg.com/profile_images/1332673855308013568/LPphjciL_normal.jpg</v>
      </c>
      <c r="H255" s="60"/>
      <c r="I255" s="64" t="str">
        <f>Vertices[[#This Row],[Vertex]]</f>
        <v>ahmadmuda19</v>
      </c>
      <c r="J255" s="65"/>
      <c r="K255" s="65"/>
      <c r="L255" s="64"/>
      <c r="M255" s="68"/>
      <c r="N255" s="69">
        <v>8591.189453125</v>
      </c>
      <c r="O255" s="69">
        <v>7048.85693359375</v>
      </c>
      <c r="P255" s="70"/>
      <c r="Q255" s="71"/>
      <c r="R255" s="71"/>
      <c r="S255" s="78"/>
      <c r="T255" s="44">
        <v>0</v>
      </c>
      <c r="U255" s="44">
        <v>1</v>
      </c>
      <c r="V255" s="45">
        <v>0</v>
      </c>
      <c r="W255" s="45">
        <v>0.003876</v>
      </c>
      <c r="X255" s="45">
        <v>0</v>
      </c>
      <c r="Y255" s="45">
        <v>0.003861</v>
      </c>
      <c r="Z255" s="45">
        <v>0</v>
      </c>
      <c r="AA255" s="45">
        <v>0</v>
      </c>
      <c r="AB255" s="66">
        <v>255</v>
      </c>
      <c r="AC2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5" s="67"/>
      <c r="AE255" t="s">
        <v>1626</v>
      </c>
      <c r="AF255" s="74" t="s">
        <v>1433</v>
      </c>
      <c r="AG255">
        <v>65</v>
      </c>
      <c r="AH255">
        <v>454</v>
      </c>
      <c r="AI255">
        <v>3159</v>
      </c>
      <c r="AJ255">
        <v>0</v>
      </c>
      <c r="AK255">
        <v>5802</v>
      </c>
      <c r="AL255">
        <v>2</v>
      </c>
      <c r="AM255" t="b">
        <v>0</v>
      </c>
      <c r="AN255" s="73">
        <v>44163.55013888889</v>
      </c>
      <c r="AY255" t="b">
        <v>0</v>
      </c>
      <c r="BB255" t="b">
        <v>0</v>
      </c>
      <c r="BC255" t="b">
        <v>1</v>
      </c>
      <c r="BD255" t="b">
        <v>1</v>
      </c>
      <c r="BE255" t="b">
        <v>0</v>
      </c>
      <c r="BF255" t="b">
        <v>0</v>
      </c>
      <c r="BG255" t="b">
        <v>0</v>
      </c>
      <c r="BH255" t="b">
        <v>0</v>
      </c>
      <c r="BK255" t="s">
        <v>2343</v>
      </c>
      <c r="BL255" t="b">
        <v>0</v>
      </c>
      <c r="BN255" t="s">
        <v>66</v>
      </c>
      <c r="BO255" t="s">
        <v>2345</v>
      </c>
      <c r="BP255" s="76" t="str">
        <f>HYPERLINK("https://twitter.com/ahmadmuda19")</f>
        <v>https://twitter.com/ahmadmuda19</v>
      </c>
      <c r="BQ255" s="44"/>
      <c r="BR255" s="44"/>
      <c r="BS255" s="44"/>
      <c r="BT255" s="44"/>
      <c r="BU255" s="44"/>
      <c r="BV255" s="44"/>
      <c r="BW255" s="95" t="s">
        <v>11467</v>
      </c>
      <c r="BX255" s="95" t="s">
        <v>11467</v>
      </c>
      <c r="BY255" s="95" t="s">
        <v>2520</v>
      </c>
      <c r="BZ255" s="95" t="s">
        <v>2520</v>
      </c>
      <c r="CA255" s="95">
        <v>6</v>
      </c>
      <c r="CB255" s="98">
        <v>33.333333333333336</v>
      </c>
      <c r="CC255" s="95">
        <v>0</v>
      </c>
      <c r="CD255" s="98">
        <v>0</v>
      </c>
      <c r="CE255" s="95">
        <v>0</v>
      </c>
      <c r="CF255" s="98">
        <v>0</v>
      </c>
      <c r="CG255" s="95">
        <v>12</v>
      </c>
      <c r="CH255" s="98">
        <v>66.66666666666667</v>
      </c>
      <c r="CI255" s="95">
        <v>18</v>
      </c>
      <c r="CJ255" s="116" t="str">
        <f>REPLACE(INDEX(GroupVertices[Group],MATCH("~"&amp;Vertices[[#This Row],[Vertex]],GroupVertices[Vertex],0)),1,1,"")</f>
        <v>35</v>
      </c>
      <c r="CK255" s="95"/>
      <c r="CL255" s="95"/>
      <c r="CM255" s="95"/>
      <c r="CN255" s="95"/>
      <c r="CO255" s="2"/>
    </row>
    <row r="256" spans="1:93" ht="41.45" customHeight="1">
      <c r="A256" s="59" t="s">
        <v>313</v>
      </c>
      <c r="C256" s="60"/>
      <c r="D256" s="60" t="s">
        <v>64</v>
      </c>
      <c r="E256" s="61"/>
      <c r="F256" s="63"/>
      <c r="G256" s="92" t="str">
        <f>HYPERLINK("https://pbs.twimg.com/profile_images/1490362913705508865/eQDvT3lo_normal.jpg")</f>
        <v>https://pbs.twimg.com/profile_images/1490362913705508865/eQDvT3lo_normal.jpg</v>
      </c>
      <c r="H256" s="60"/>
      <c r="I256" s="64" t="str">
        <f>Vertices[[#This Row],[Vertex]]</f>
        <v>kretek_mantab</v>
      </c>
      <c r="J256" s="65"/>
      <c r="K256" s="65"/>
      <c r="L256" s="64"/>
      <c r="M256" s="68"/>
      <c r="N256" s="69">
        <v>8815.9375</v>
      </c>
      <c r="O256" s="69">
        <v>4368.93310546875</v>
      </c>
      <c r="P256" s="70"/>
      <c r="Q256" s="71"/>
      <c r="R256" s="71"/>
      <c r="S256" s="78"/>
      <c r="T256" s="44">
        <v>0</v>
      </c>
      <c r="U256" s="44">
        <v>1</v>
      </c>
      <c r="V256" s="45">
        <v>0</v>
      </c>
      <c r="W256" s="45">
        <v>0.003876</v>
      </c>
      <c r="X256" s="45">
        <v>0</v>
      </c>
      <c r="Y256" s="45">
        <v>0.003592</v>
      </c>
      <c r="Z256" s="45">
        <v>0</v>
      </c>
      <c r="AA256" s="45">
        <v>0</v>
      </c>
      <c r="AB256" s="66">
        <v>256</v>
      </c>
      <c r="AC2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6" s="67"/>
      <c r="AE256" t="s">
        <v>1755</v>
      </c>
      <c r="AF256" s="74" t="s">
        <v>1465</v>
      </c>
      <c r="AG256">
        <v>64</v>
      </c>
      <c r="AH256">
        <v>192</v>
      </c>
      <c r="AI256">
        <v>3182</v>
      </c>
      <c r="AJ256">
        <v>6</v>
      </c>
      <c r="AK256">
        <v>4709</v>
      </c>
      <c r="AL256">
        <v>8</v>
      </c>
      <c r="AM256" t="b">
        <v>0</v>
      </c>
      <c r="AN256" s="73">
        <v>43615.796689814815</v>
      </c>
      <c r="AY256" t="b">
        <v>0</v>
      </c>
      <c r="BB256" t="b">
        <v>0</v>
      </c>
      <c r="BC256" t="b">
        <v>1</v>
      </c>
      <c r="BD256" t="b">
        <v>1</v>
      </c>
      <c r="BE256" t="b">
        <v>0</v>
      </c>
      <c r="BF256" t="b">
        <v>0</v>
      </c>
      <c r="BG256" t="b">
        <v>0</v>
      </c>
      <c r="BH256" t="b">
        <v>0</v>
      </c>
      <c r="BK256" t="s">
        <v>2343</v>
      </c>
      <c r="BL256" t="b">
        <v>0</v>
      </c>
      <c r="BN256" t="s">
        <v>66</v>
      </c>
      <c r="BO256" t="s">
        <v>2345</v>
      </c>
      <c r="BP256" s="76" t="str">
        <f>HYPERLINK("https://twitter.com/kretek_mantab")</f>
        <v>https://twitter.com/kretek_mantab</v>
      </c>
      <c r="BQ256" s="44"/>
      <c r="BR256" s="44"/>
      <c r="BS256" s="44"/>
      <c r="BT256" s="44"/>
      <c r="BU256" s="44"/>
      <c r="BV256" s="44"/>
      <c r="BW256" s="95" t="s">
        <v>11468</v>
      </c>
      <c r="BX256" s="95" t="s">
        <v>11468</v>
      </c>
      <c r="BY256" s="95" t="s">
        <v>2559</v>
      </c>
      <c r="BZ256" s="95" t="s">
        <v>2559</v>
      </c>
      <c r="CA256" s="95">
        <v>3</v>
      </c>
      <c r="CB256" s="98">
        <v>25</v>
      </c>
      <c r="CC256" s="95">
        <v>1</v>
      </c>
      <c r="CD256" s="98">
        <v>8.333333333333334</v>
      </c>
      <c r="CE256" s="95">
        <v>0</v>
      </c>
      <c r="CF256" s="98">
        <v>0</v>
      </c>
      <c r="CG256" s="95">
        <v>8</v>
      </c>
      <c r="CH256" s="98">
        <v>66.66666666666667</v>
      </c>
      <c r="CI256" s="95">
        <v>12</v>
      </c>
      <c r="CJ256" s="116" t="str">
        <f>REPLACE(INDEX(GroupVertices[Group],MATCH("~"&amp;Vertices[[#This Row],[Vertex]],GroupVertices[Vertex],0)),1,1,"")</f>
        <v>38</v>
      </c>
      <c r="CK256" s="95"/>
      <c r="CL256" s="95"/>
      <c r="CM256" s="95"/>
      <c r="CN256" s="95"/>
      <c r="CO256" s="2"/>
    </row>
    <row r="257" spans="1:93" ht="41.45" customHeight="1">
      <c r="A257" s="59" t="s">
        <v>276</v>
      </c>
      <c r="C257" s="60"/>
      <c r="D257" s="60" t="s">
        <v>64</v>
      </c>
      <c r="E257" s="61"/>
      <c r="F257" s="63"/>
      <c r="G257" s="92" t="str">
        <f>HYPERLINK("https://pbs.twimg.com/profile_images/1215556700788289537/Zxt1Ktw7_normal.jpg")</f>
        <v>https://pbs.twimg.com/profile_images/1215556700788289537/Zxt1Ktw7_normal.jpg</v>
      </c>
      <c r="H257" s="60"/>
      <c r="I257" s="64" t="str">
        <f>Vertices[[#This Row],[Vertex]]</f>
        <v>nfatqi</v>
      </c>
      <c r="J257" s="65"/>
      <c r="K257" s="65"/>
      <c r="L257" s="64"/>
      <c r="M257" s="68"/>
      <c r="N257" s="69">
        <v>8976.5185546875</v>
      </c>
      <c r="O257" s="69">
        <v>5540.0009765625</v>
      </c>
      <c r="P257" s="70"/>
      <c r="Q257" s="71"/>
      <c r="R257" s="71"/>
      <c r="S257" s="78"/>
      <c r="T257" s="44">
        <v>0</v>
      </c>
      <c r="U257" s="44">
        <v>1</v>
      </c>
      <c r="V257" s="45">
        <v>0</v>
      </c>
      <c r="W257" s="45">
        <v>0.003876</v>
      </c>
      <c r="X257" s="45">
        <v>0</v>
      </c>
      <c r="Y257" s="45">
        <v>0.003861</v>
      </c>
      <c r="Z257" s="45">
        <v>0</v>
      </c>
      <c r="AA257" s="45">
        <v>0</v>
      </c>
      <c r="AB257" s="66">
        <v>257</v>
      </c>
      <c r="AC2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7" s="67"/>
      <c r="AE257" t="s">
        <v>1655</v>
      </c>
      <c r="AF257" s="74" t="s">
        <v>1439</v>
      </c>
      <c r="AG257">
        <v>50</v>
      </c>
      <c r="AH257">
        <v>538</v>
      </c>
      <c r="AI257">
        <v>93</v>
      </c>
      <c r="AJ257">
        <v>0</v>
      </c>
      <c r="AK257">
        <v>25</v>
      </c>
      <c r="AL257">
        <v>30</v>
      </c>
      <c r="AM257" t="b">
        <v>0</v>
      </c>
      <c r="AN257" s="73">
        <v>43840.36796296296</v>
      </c>
      <c r="AP257" t="s">
        <v>2127</v>
      </c>
      <c r="AY257" t="b">
        <v>0</v>
      </c>
      <c r="BB257" t="b">
        <v>0</v>
      </c>
      <c r="BC257" t="b">
        <v>1</v>
      </c>
      <c r="BD257" t="b">
        <v>1</v>
      </c>
      <c r="BE257" t="b">
        <v>0</v>
      </c>
      <c r="BF257" t="b">
        <v>1</v>
      </c>
      <c r="BG257" t="b">
        <v>0</v>
      </c>
      <c r="BH257" t="b">
        <v>0</v>
      </c>
      <c r="BK257" t="s">
        <v>2343</v>
      </c>
      <c r="BL257" t="b">
        <v>0</v>
      </c>
      <c r="BN257" t="s">
        <v>66</v>
      </c>
      <c r="BO257" t="s">
        <v>2345</v>
      </c>
      <c r="BP257" s="76" t="str">
        <f>HYPERLINK("https://twitter.com/nfatqi")</f>
        <v>https://twitter.com/nfatqi</v>
      </c>
      <c r="BQ257" s="44"/>
      <c r="BR257" s="44"/>
      <c r="BS257" s="44"/>
      <c r="BT257" s="44"/>
      <c r="BU257" s="44"/>
      <c r="BV257" s="44"/>
      <c r="BW257" s="95" t="s">
        <v>11469</v>
      </c>
      <c r="BX257" s="95" t="s">
        <v>11469</v>
      </c>
      <c r="BY257" s="95" t="s">
        <v>2528</v>
      </c>
      <c r="BZ257" s="95" t="s">
        <v>2528</v>
      </c>
      <c r="CA257" s="95">
        <v>3</v>
      </c>
      <c r="CB257" s="98">
        <v>75</v>
      </c>
      <c r="CC257" s="95">
        <v>0</v>
      </c>
      <c r="CD257" s="98">
        <v>0</v>
      </c>
      <c r="CE257" s="95">
        <v>0</v>
      </c>
      <c r="CF257" s="98">
        <v>0</v>
      </c>
      <c r="CG257" s="95">
        <v>1</v>
      </c>
      <c r="CH257" s="98">
        <v>25</v>
      </c>
      <c r="CI257" s="95">
        <v>4</v>
      </c>
      <c r="CJ257" s="116" t="str">
        <f>REPLACE(INDEX(GroupVertices[Group],MATCH("~"&amp;Vertices[[#This Row],[Vertex]],GroupVertices[Vertex],0)),1,1,"")</f>
        <v>27</v>
      </c>
      <c r="CK257" s="95"/>
      <c r="CL257" s="95"/>
      <c r="CM257" s="95"/>
      <c r="CN257" s="95"/>
      <c r="CO257" s="2"/>
    </row>
    <row r="258" spans="1:93" ht="41.45" customHeight="1">
      <c r="A258" s="59" t="s">
        <v>326</v>
      </c>
      <c r="C258" s="60"/>
      <c r="D258" s="60" t="s">
        <v>64</v>
      </c>
      <c r="E258" s="61"/>
      <c r="F258" s="63"/>
      <c r="G258" s="92" t="str">
        <f>HYPERLINK("https://pbs.twimg.com/profile_images/1516829290389655554/9sqvdRFL_normal.jpg")</f>
        <v>https://pbs.twimg.com/profile_images/1516829290389655554/9sqvdRFL_normal.jpg</v>
      </c>
      <c r="H258" s="60"/>
      <c r="I258" s="64" t="str">
        <f>Vertices[[#This Row],[Vertex]]</f>
        <v>dikisoesanto</v>
      </c>
      <c r="J258" s="65"/>
      <c r="K258" s="65"/>
      <c r="L258" s="64"/>
      <c r="M258" s="68"/>
      <c r="N258" s="69">
        <v>9693.791015625</v>
      </c>
      <c r="O258" s="69">
        <v>3468.099609375</v>
      </c>
      <c r="P258" s="70"/>
      <c r="Q258" s="71"/>
      <c r="R258" s="71"/>
      <c r="S258" s="78"/>
      <c r="T258" s="44">
        <v>0</v>
      </c>
      <c r="U258" s="44">
        <v>1</v>
      </c>
      <c r="V258" s="45">
        <v>0</v>
      </c>
      <c r="W258" s="45">
        <v>0.003876</v>
      </c>
      <c r="X258" s="45">
        <v>0</v>
      </c>
      <c r="Y258" s="45">
        <v>0.003861</v>
      </c>
      <c r="Z258" s="45">
        <v>0</v>
      </c>
      <c r="AA258" s="45">
        <v>0</v>
      </c>
      <c r="AB258" s="66">
        <v>258</v>
      </c>
      <c r="AC2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8" s="67"/>
      <c r="AE258" t="s">
        <v>1773</v>
      </c>
      <c r="AF258" s="74" t="s">
        <v>1914</v>
      </c>
      <c r="AG258">
        <v>3</v>
      </c>
      <c r="AH258">
        <v>40</v>
      </c>
      <c r="AI258">
        <v>93</v>
      </c>
      <c r="AJ258">
        <v>0</v>
      </c>
      <c r="AK258">
        <v>41</v>
      </c>
      <c r="AL258">
        <v>10</v>
      </c>
      <c r="AM258" t="b">
        <v>0</v>
      </c>
      <c r="AN258" s="73">
        <v>41410.61226851852</v>
      </c>
      <c r="AY258" t="b">
        <v>0</v>
      </c>
      <c r="BB258" t="b">
        <v>0</v>
      </c>
      <c r="BC258" t="b">
        <v>1</v>
      </c>
      <c r="BD258" t="b">
        <v>1</v>
      </c>
      <c r="BE258" t="b">
        <v>0</v>
      </c>
      <c r="BF258" t="b">
        <v>0</v>
      </c>
      <c r="BG258" t="b">
        <v>0</v>
      </c>
      <c r="BH258" t="b">
        <v>0</v>
      </c>
      <c r="BK258" t="s">
        <v>2343</v>
      </c>
      <c r="BL258" t="b">
        <v>0</v>
      </c>
      <c r="BN258" t="s">
        <v>66</v>
      </c>
      <c r="BO258" t="s">
        <v>2345</v>
      </c>
      <c r="BP258" s="76" t="str">
        <f>HYPERLINK("https://twitter.com/dikisoesanto")</f>
        <v>https://twitter.com/dikisoesanto</v>
      </c>
      <c r="BQ258" s="44"/>
      <c r="BR258" s="44"/>
      <c r="BS258" s="44"/>
      <c r="BT258" s="44"/>
      <c r="BU258" s="44" t="s">
        <v>703</v>
      </c>
      <c r="BV258" s="44" t="s">
        <v>703</v>
      </c>
      <c r="BW258" s="95" t="s">
        <v>2467</v>
      </c>
      <c r="BX258" s="95" t="s">
        <v>2467</v>
      </c>
      <c r="BY258" s="95" t="s">
        <v>2568</v>
      </c>
      <c r="BZ258" s="95" t="s">
        <v>2568</v>
      </c>
      <c r="CA258" s="95">
        <v>0</v>
      </c>
      <c r="CB258" s="98">
        <v>0</v>
      </c>
      <c r="CC258" s="95">
        <v>0</v>
      </c>
      <c r="CD258" s="98">
        <v>0</v>
      </c>
      <c r="CE258" s="95">
        <v>0</v>
      </c>
      <c r="CF258" s="98">
        <v>0</v>
      </c>
      <c r="CG258" s="95">
        <v>22</v>
      </c>
      <c r="CH258" s="98">
        <v>100</v>
      </c>
      <c r="CI258" s="95">
        <v>22</v>
      </c>
      <c r="CJ258" s="116" t="str">
        <f>REPLACE(INDEX(GroupVertices[Group],MATCH("~"&amp;Vertices[[#This Row],[Vertex]],GroupVertices[Vertex],0)),1,1,"")</f>
        <v>29</v>
      </c>
      <c r="CK258" s="95"/>
      <c r="CL258" s="95"/>
      <c r="CM258" s="95" t="s">
        <v>703</v>
      </c>
      <c r="CN258" s="95" t="s">
        <v>703</v>
      </c>
      <c r="CO258" s="2"/>
    </row>
    <row r="259" spans="1:93" ht="41.45" customHeight="1">
      <c r="A259" s="59" t="s">
        <v>306</v>
      </c>
      <c r="C259" s="60"/>
      <c r="D259" s="60" t="s">
        <v>64</v>
      </c>
      <c r="E259" s="61"/>
      <c r="F259" s="63"/>
      <c r="G259" s="92" t="str">
        <f>HYPERLINK("https://pbs.twimg.com/profile_images/1569689395531481089/461iSbn1_normal.jpg")</f>
        <v>https://pbs.twimg.com/profile_images/1569689395531481089/461iSbn1_normal.jpg</v>
      </c>
      <c r="H259" s="60"/>
      <c r="I259" s="64" t="str">
        <f>Vertices[[#This Row],[Vertex]]</f>
        <v>rudyhar51284265</v>
      </c>
      <c r="J259" s="65"/>
      <c r="K259" s="65"/>
      <c r="L259" s="64"/>
      <c r="M259" s="68"/>
      <c r="N259" s="69">
        <v>9367.3037109375</v>
      </c>
      <c r="O259" s="69">
        <v>6215.6044921875</v>
      </c>
      <c r="P259" s="70"/>
      <c r="Q259" s="71"/>
      <c r="R259" s="71"/>
      <c r="S259" s="78"/>
      <c r="T259" s="44">
        <v>0</v>
      </c>
      <c r="U259" s="44">
        <v>1</v>
      </c>
      <c r="V259" s="45">
        <v>0</v>
      </c>
      <c r="W259" s="45">
        <v>0.003876</v>
      </c>
      <c r="X259" s="45">
        <v>0</v>
      </c>
      <c r="Y259" s="45">
        <v>0.003592</v>
      </c>
      <c r="Z259" s="45">
        <v>0</v>
      </c>
      <c r="AA259" s="45">
        <v>0</v>
      </c>
      <c r="AB259" s="66">
        <v>259</v>
      </c>
      <c r="AC2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9" s="67"/>
      <c r="AE259" t="s">
        <v>1746</v>
      </c>
      <c r="AF259" s="74" t="s">
        <v>1461</v>
      </c>
      <c r="AG259">
        <v>3</v>
      </c>
      <c r="AH259">
        <v>148</v>
      </c>
      <c r="AI259">
        <v>833</v>
      </c>
      <c r="AJ259">
        <v>0</v>
      </c>
      <c r="AK259">
        <v>13</v>
      </c>
      <c r="AL259">
        <v>128</v>
      </c>
      <c r="AM259" t="b">
        <v>0</v>
      </c>
      <c r="AN259" s="73">
        <v>43986.65513888889</v>
      </c>
      <c r="AP259" t="s">
        <v>2212</v>
      </c>
      <c r="AY259" t="b">
        <v>0</v>
      </c>
      <c r="BB259" t="b">
        <v>0</v>
      </c>
      <c r="BC259" t="b">
        <v>1</v>
      </c>
      <c r="BD259" t="b">
        <v>1</v>
      </c>
      <c r="BE259" t="b">
        <v>0</v>
      </c>
      <c r="BF259" t="b">
        <v>0</v>
      </c>
      <c r="BG259" t="b">
        <v>0</v>
      </c>
      <c r="BH259" t="b">
        <v>0</v>
      </c>
      <c r="BI259" s="76" t="str">
        <f>HYPERLINK("https://pbs.twimg.com/profile_banners/1268568931414900736/1662422753")</f>
        <v>https://pbs.twimg.com/profile_banners/1268568931414900736/1662422753</v>
      </c>
      <c r="BK259" t="s">
        <v>2343</v>
      </c>
      <c r="BL259" t="b">
        <v>0</v>
      </c>
      <c r="BN259" t="s">
        <v>66</v>
      </c>
      <c r="BO259" t="s">
        <v>2345</v>
      </c>
      <c r="BP259" s="76" t="str">
        <f>HYPERLINK("https://twitter.com/rudyhar51284265")</f>
        <v>https://twitter.com/rudyhar51284265</v>
      </c>
      <c r="BQ259" s="44"/>
      <c r="BR259" s="44"/>
      <c r="BS259" s="44"/>
      <c r="BT259" s="44"/>
      <c r="BU259" s="44"/>
      <c r="BV259" s="44"/>
      <c r="BW259" s="95" t="s">
        <v>2456</v>
      </c>
      <c r="BX259" s="95" t="s">
        <v>2456</v>
      </c>
      <c r="BY259" s="95" t="s">
        <v>2552</v>
      </c>
      <c r="BZ259" s="95" t="s">
        <v>2552</v>
      </c>
      <c r="CA259" s="95">
        <v>7</v>
      </c>
      <c r="CB259" s="98">
        <v>18.42105263157895</v>
      </c>
      <c r="CC259" s="95">
        <v>0</v>
      </c>
      <c r="CD259" s="98">
        <v>0</v>
      </c>
      <c r="CE259" s="95">
        <v>0</v>
      </c>
      <c r="CF259" s="98">
        <v>0</v>
      </c>
      <c r="CG259" s="95">
        <v>31</v>
      </c>
      <c r="CH259" s="98">
        <v>81.57894736842105</v>
      </c>
      <c r="CI259" s="95">
        <v>38</v>
      </c>
      <c r="CJ259" s="116" t="str">
        <f>REPLACE(INDEX(GroupVertices[Group],MATCH("~"&amp;Vertices[[#This Row],[Vertex]],GroupVertices[Vertex],0)),1,1,"")</f>
        <v>40</v>
      </c>
      <c r="CK259" s="95"/>
      <c r="CL259" s="95"/>
      <c r="CM259" s="95"/>
      <c r="CN259" s="95"/>
      <c r="CO259" s="2"/>
    </row>
    <row r="260" spans="1:93" ht="41.45" customHeight="1">
      <c r="A260" s="59" t="s">
        <v>279</v>
      </c>
      <c r="C260" s="60"/>
      <c r="D260" s="60" t="s">
        <v>64</v>
      </c>
      <c r="E260" s="61"/>
      <c r="F260" s="63"/>
      <c r="G260" s="92" t="str">
        <f>HYPERLINK("https://pbs.twimg.com/profile_images/1622508599758188544/gYjVd1Sc_normal.jpg")</f>
        <v>https://pbs.twimg.com/profile_images/1622508599758188544/gYjVd1Sc_normal.jpg</v>
      </c>
      <c r="H260" s="60"/>
      <c r="I260" s="64" t="str">
        <f>Vertices[[#This Row],[Vertex]]</f>
        <v>salam_santun</v>
      </c>
      <c r="J260" s="65"/>
      <c r="K260" s="65"/>
      <c r="L260" s="64"/>
      <c r="M260" s="68"/>
      <c r="N260" s="69">
        <v>9313.599609375</v>
      </c>
      <c r="O260" s="69">
        <v>5540.0068359375</v>
      </c>
      <c r="P260" s="70"/>
      <c r="Q260" s="71"/>
      <c r="R260" s="71"/>
      <c r="S260" s="78"/>
      <c r="T260" s="44">
        <v>0</v>
      </c>
      <c r="U260" s="44">
        <v>1</v>
      </c>
      <c r="V260" s="45">
        <v>0</v>
      </c>
      <c r="W260" s="45">
        <v>0.003876</v>
      </c>
      <c r="X260" s="45">
        <v>0</v>
      </c>
      <c r="Y260" s="45">
        <v>0.003861</v>
      </c>
      <c r="Z260" s="45">
        <v>0</v>
      </c>
      <c r="AA260" s="45">
        <v>0</v>
      </c>
      <c r="AB260" s="66">
        <v>260</v>
      </c>
      <c r="AC2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0" s="67"/>
      <c r="AE260" t="s">
        <v>1661</v>
      </c>
      <c r="AF260" s="74" t="s">
        <v>1441</v>
      </c>
      <c r="AG260">
        <v>3</v>
      </c>
      <c r="AH260">
        <v>163</v>
      </c>
      <c r="AI260">
        <v>216</v>
      </c>
      <c r="AJ260">
        <v>0</v>
      </c>
      <c r="AK260">
        <v>286</v>
      </c>
      <c r="AL260">
        <v>9</v>
      </c>
      <c r="AM260" t="b">
        <v>0</v>
      </c>
      <c r="AN260" s="73">
        <v>42742.567349537036</v>
      </c>
      <c r="AP260" t="s">
        <v>2133</v>
      </c>
      <c r="AY260" t="b">
        <v>0</v>
      </c>
      <c r="BB260" t="b">
        <v>0</v>
      </c>
      <c r="BC260" t="b">
        <v>1</v>
      </c>
      <c r="BD260" t="b">
        <v>1</v>
      </c>
      <c r="BE260" t="b">
        <v>0</v>
      </c>
      <c r="BF260" t="b">
        <v>1</v>
      </c>
      <c r="BG260" t="b">
        <v>0</v>
      </c>
      <c r="BH260" t="b">
        <v>0</v>
      </c>
      <c r="BI260" s="76" t="str">
        <f>HYPERLINK("https://pbs.twimg.com/profile_banners/817726730420953090/1675671170")</f>
        <v>https://pbs.twimg.com/profile_banners/817726730420953090/1675671170</v>
      </c>
      <c r="BK260" t="s">
        <v>2343</v>
      </c>
      <c r="BL260" t="b">
        <v>0</v>
      </c>
      <c r="BN260" t="s">
        <v>66</v>
      </c>
      <c r="BO260" t="s">
        <v>2345</v>
      </c>
      <c r="BP260" s="76" t="str">
        <f>HYPERLINK("https://twitter.com/salam_santun")</f>
        <v>https://twitter.com/salam_santun</v>
      </c>
      <c r="BQ260" s="44"/>
      <c r="BR260" s="44"/>
      <c r="BS260" s="44"/>
      <c r="BT260" s="44"/>
      <c r="BU260" s="44"/>
      <c r="BV260" s="44"/>
      <c r="BW260" s="95" t="s">
        <v>11470</v>
      </c>
      <c r="BX260" s="95" t="s">
        <v>11470</v>
      </c>
      <c r="BY260" s="95" t="s">
        <v>2531</v>
      </c>
      <c r="BZ260" s="95" t="s">
        <v>2531</v>
      </c>
      <c r="CA260" s="95">
        <v>3</v>
      </c>
      <c r="CB260" s="98">
        <v>21.428571428571427</v>
      </c>
      <c r="CC260" s="95">
        <v>0</v>
      </c>
      <c r="CD260" s="98">
        <v>0</v>
      </c>
      <c r="CE260" s="95">
        <v>0</v>
      </c>
      <c r="CF260" s="98">
        <v>0</v>
      </c>
      <c r="CG260" s="95">
        <v>11</v>
      </c>
      <c r="CH260" s="98">
        <v>78.57142857142857</v>
      </c>
      <c r="CI260" s="95">
        <v>14</v>
      </c>
      <c r="CJ260" s="116" t="str">
        <f>REPLACE(INDEX(GroupVertices[Group],MATCH("~"&amp;Vertices[[#This Row],[Vertex]],GroupVertices[Vertex],0)),1,1,"")</f>
        <v>28</v>
      </c>
      <c r="CK260" s="95"/>
      <c r="CL260" s="95"/>
      <c r="CM260" s="95"/>
      <c r="CN260" s="95"/>
      <c r="CO260" s="2"/>
    </row>
    <row r="261" spans="1:93" ht="41.45" customHeight="1">
      <c r="A261" s="59" t="s">
        <v>225</v>
      </c>
      <c r="C261" s="80"/>
      <c r="D261" s="60" t="s">
        <v>64</v>
      </c>
      <c r="E261" s="81"/>
      <c r="F261" s="82"/>
      <c r="G261" s="93" t="str">
        <f>HYPERLINK("https://abs.twimg.com/sticky/default_profile_images/default_profile_normal.png")</f>
        <v>https://abs.twimg.com/sticky/default_profile_images/default_profile_normal.png</v>
      </c>
      <c r="H261" s="80"/>
      <c r="I261" s="64" t="str">
        <f>Vertices[[#This Row],[Vertex]]</f>
        <v>kasman76182831</v>
      </c>
      <c r="J261" s="84"/>
      <c r="K261" s="84"/>
      <c r="L261" s="83"/>
      <c r="M261" s="85"/>
      <c r="N261" s="86">
        <v>8976.5615234375</v>
      </c>
      <c r="O261" s="86">
        <v>3468.150634765625</v>
      </c>
      <c r="P261" s="87"/>
      <c r="Q261" s="88"/>
      <c r="R261" s="88"/>
      <c r="S261" s="89"/>
      <c r="T261" s="44">
        <v>0</v>
      </c>
      <c r="U261" s="44">
        <v>1</v>
      </c>
      <c r="V261" s="45">
        <v>0</v>
      </c>
      <c r="W261" s="45">
        <v>0.003876</v>
      </c>
      <c r="X261" s="45">
        <v>0</v>
      </c>
      <c r="Y261" s="45">
        <v>0.003861</v>
      </c>
      <c r="Z261" s="45">
        <v>0</v>
      </c>
      <c r="AA261" s="45">
        <v>0</v>
      </c>
      <c r="AB261" s="90">
        <v>261</v>
      </c>
      <c r="AC261"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1" s="67"/>
      <c r="AE261" t="s">
        <v>1539</v>
      </c>
      <c r="AF261" s="74" t="s">
        <v>1405</v>
      </c>
      <c r="AG261">
        <v>2</v>
      </c>
      <c r="AH261">
        <v>21</v>
      </c>
      <c r="AI261">
        <v>166</v>
      </c>
      <c r="AJ261">
        <v>0</v>
      </c>
      <c r="AK261">
        <v>53</v>
      </c>
      <c r="AL261">
        <v>4</v>
      </c>
      <c r="AM261" t="b">
        <v>0</v>
      </c>
      <c r="AN261" s="73">
        <v>43491.27831018518</v>
      </c>
      <c r="AP261" t="s">
        <v>2025</v>
      </c>
      <c r="AY261" t="b">
        <v>0</v>
      </c>
      <c r="BB261" t="b">
        <v>0</v>
      </c>
      <c r="BC261" t="b">
        <v>1</v>
      </c>
      <c r="BD261" t="b">
        <v>1</v>
      </c>
      <c r="BE261" t="b">
        <v>1</v>
      </c>
      <c r="BF261" t="b">
        <v>0</v>
      </c>
      <c r="BG261" t="b">
        <v>0</v>
      </c>
      <c r="BH261" t="b">
        <v>0</v>
      </c>
      <c r="BK261" t="s">
        <v>2343</v>
      </c>
      <c r="BL261" t="b">
        <v>0</v>
      </c>
      <c r="BN261" t="s">
        <v>66</v>
      </c>
      <c r="BO261" t="s">
        <v>2345</v>
      </c>
      <c r="BP261" s="76" t="str">
        <f>HYPERLINK("https://twitter.com/kasman76182831")</f>
        <v>https://twitter.com/kasman76182831</v>
      </c>
      <c r="BQ261" s="44"/>
      <c r="BR261" s="44"/>
      <c r="BS261" s="44"/>
      <c r="BT261" s="44"/>
      <c r="BU261" s="44"/>
      <c r="BV261" s="44"/>
      <c r="BW261" s="95" t="s">
        <v>11471</v>
      </c>
      <c r="BX261" s="95" t="s">
        <v>11471</v>
      </c>
      <c r="BY261" s="95" t="s">
        <v>2483</v>
      </c>
      <c r="BZ261" s="95" t="s">
        <v>2483</v>
      </c>
      <c r="CA261" s="95">
        <v>5</v>
      </c>
      <c r="CB261" s="98">
        <v>17.24137931034483</v>
      </c>
      <c r="CC261" s="95">
        <v>1</v>
      </c>
      <c r="CD261" s="98">
        <v>3.4482758620689653</v>
      </c>
      <c r="CE261" s="95">
        <v>0</v>
      </c>
      <c r="CF261" s="98">
        <v>0</v>
      </c>
      <c r="CG261" s="95">
        <v>23</v>
      </c>
      <c r="CH261" s="98">
        <v>79.3103448275862</v>
      </c>
      <c r="CI261" s="95">
        <v>29</v>
      </c>
      <c r="CJ261" s="116" t="str">
        <f>REPLACE(INDEX(GroupVertices[Group],MATCH("~"&amp;Vertices[[#This Row],[Vertex]],GroupVertices[Vertex],0)),1,1,"")</f>
        <v>26</v>
      </c>
      <c r="CK261" s="95"/>
      <c r="CL261" s="95"/>
      <c r="CM261" s="95"/>
      <c r="CN261" s="95"/>
      <c r="CO261" s="2"/>
    </row>
    <row r="262" spans="1:93" ht="41.45" customHeight="1">
      <c r="A262" s="59" t="s">
        <v>1485</v>
      </c>
      <c r="C262" s="60"/>
      <c r="D262" s="60" t="s">
        <v>64</v>
      </c>
      <c r="E262" s="61"/>
      <c r="F262" s="63"/>
      <c r="G262" s="92" t="str">
        <f>HYPERLINK("https://pbs.twimg.com/profile_images/1698906163344261120/B-vCqSJi_normal.jpg")</f>
        <v>https://pbs.twimg.com/profile_images/1698906163344261120/B-vCqSJi_normal.jpg</v>
      </c>
      <c r="H262" s="60"/>
      <c r="I262" s="64" t="str">
        <f>Vertices[[#This Row],[Vertex]]</f>
        <v>bangzhack86</v>
      </c>
      <c r="J262" s="65"/>
      <c r="K262" s="65"/>
      <c r="L262" s="64"/>
      <c r="M262" s="68"/>
      <c r="N262" s="69"/>
      <c r="O262" s="69"/>
      <c r="P262" s="70"/>
      <c r="Q262" s="71"/>
      <c r="R262" s="71"/>
      <c r="S262" s="78"/>
      <c r="T262" s="44"/>
      <c r="U262" s="44"/>
      <c r="V262" s="45"/>
      <c r="W262" s="45"/>
      <c r="X262" s="45"/>
      <c r="Y262" s="45"/>
      <c r="Z262" s="45"/>
      <c r="AA262" s="45"/>
      <c r="AB262" s="66">
        <v>262</v>
      </c>
      <c r="AC2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2" s="67"/>
      <c r="AE262" t="s">
        <v>1790</v>
      </c>
      <c r="AF262" s="74" t="s">
        <v>1926</v>
      </c>
      <c r="AG262">
        <v>31095</v>
      </c>
      <c r="AH262">
        <v>7343</v>
      </c>
      <c r="AI262">
        <v>41810</v>
      </c>
      <c r="AJ262">
        <v>4</v>
      </c>
      <c r="AK262">
        <v>134902</v>
      </c>
      <c r="AL262">
        <v>4918</v>
      </c>
      <c r="AM262" t="b">
        <v>0</v>
      </c>
      <c r="AN262" s="73">
        <v>44238.38511574074</v>
      </c>
      <c r="AO262" t="s">
        <v>2013</v>
      </c>
      <c r="AP262" t="s">
        <v>2250</v>
      </c>
      <c r="AY262" t="b">
        <v>0</v>
      </c>
      <c r="BB262" t="b">
        <v>0</v>
      </c>
      <c r="BC262" t="b">
        <v>0</v>
      </c>
      <c r="BD262" t="b">
        <v>1</v>
      </c>
      <c r="BE262" t="b">
        <v>0</v>
      </c>
      <c r="BF262" t="b">
        <v>1</v>
      </c>
      <c r="BG262" t="b">
        <v>0</v>
      </c>
      <c r="BH262" t="b">
        <v>0</v>
      </c>
      <c r="BI262" s="76" t="str">
        <f>HYPERLINK("https://pbs.twimg.com/profile_banners/1359792684735500290/1645696574")</f>
        <v>https://pbs.twimg.com/profile_banners/1359792684735500290/1645696574</v>
      </c>
      <c r="BK262" t="s">
        <v>2343</v>
      </c>
      <c r="BL262" t="b">
        <v>0</v>
      </c>
      <c r="BN262" t="s">
        <v>66</v>
      </c>
      <c r="BO262" t="s">
        <v>2345</v>
      </c>
      <c r="BP262" s="76" t="str">
        <f>HYPERLINK("https://twitter.com/bangzhack86")</f>
        <v>https://twitter.com/bangzhack86</v>
      </c>
      <c r="BQ262" s="44"/>
      <c r="BR262" s="44"/>
      <c r="BS262" s="44"/>
      <c r="BT262" s="44"/>
      <c r="BU262" s="44"/>
      <c r="BV262" s="44"/>
      <c r="BW262" s="44"/>
      <c r="BX262" s="44"/>
      <c r="BY262" s="44"/>
      <c r="BZ262" s="44"/>
      <c r="CA262" s="44"/>
      <c r="CB262" s="45"/>
      <c r="CC262" s="44"/>
      <c r="CD262" s="45"/>
      <c r="CE262" s="44"/>
      <c r="CF262" s="45"/>
      <c r="CG262" s="44"/>
      <c r="CH262" s="45"/>
      <c r="CI262" s="44"/>
      <c r="CJ262" s="112" t="e">
        <f>REPLACE(INDEX(GroupVertices[Group],MATCH("~"&amp;Vertices[[#This Row],[Vertex]],GroupVertices[Vertex],0)),1,1,"")</f>
        <v>#N/A</v>
      </c>
      <c r="CK262" s="44"/>
      <c r="CL262" s="44"/>
      <c r="CM262" s="44"/>
      <c r="CN262" s="44"/>
      <c r="CO262" s="2"/>
    </row>
    <row r="263" spans="1:93" ht="41.45" customHeight="1">
      <c r="A263" s="59" t="s">
        <v>1492</v>
      </c>
      <c r="C263" s="125"/>
      <c r="D263" s="60" t="s">
        <v>64</v>
      </c>
      <c r="E263" s="129"/>
      <c r="F263" s="124"/>
      <c r="G263" s="92" t="str">
        <f>HYPERLINK("https://pbs.twimg.com/profile_images/1607005199071346688/KZPumfC4_normal.jpg")</f>
        <v>https://pbs.twimg.com/profile_images/1607005199071346688/KZPumfC4_normal.jpg</v>
      </c>
      <c r="H263" s="125"/>
      <c r="I263" s="64" t="str">
        <f>Vertices[[#This Row],[Vertex]]</f>
        <v>vivayogamauladi</v>
      </c>
      <c r="J263" s="126"/>
      <c r="K263" s="126"/>
      <c r="L263" s="130"/>
      <c r="M263" s="127"/>
      <c r="N263" s="131"/>
      <c r="O263" s="131"/>
      <c r="P263" s="132"/>
      <c r="Q263" s="133"/>
      <c r="R263" s="133"/>
      <c r="S263" s="134"/>
      <c r="T263" s="44"/>
      <c r="U263" s="44"/>
      <c r="V263" s="45"/>
      <c r="W263" s="45"/>
      <c r="X263" s="45"/>
      <c r="Y263" s="45"/>
      <c r="Z263" s="45"/>
      <c r="AA263" s="45"/>
      <c r="AB263" s="135">
        <v>263</v>
      </c>
      <c r="AC263"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3" s="67"/>
      <c r="AE263" t="s">
        <v>1797</v>
      </c>
      <c r="AF263" s="74" t="s">
        <v>1933</v>
      </c>
      <c r="AG263">
        <v>16056</v>
      </c>
      <c r="AH263">
        <v>2039</v>
      </c>
      <c r="AI263">
        <v>4278</v>
      </c>
      <c r="AJ263">
        <v>20</v>
      </c>
      <c r="AK263">
        <v>386</v>
      </c>
      <c r="AL263">
        <v>860</v>
      </c>
      <c r="AM263" t="b">
        <v>0</v>
      </c>
      <c r="AN263" s="73">
        <v>40613.73521990741</v>
      </c>
      <c r="AO263" t="s">
        <v>2017</v>
      </c>
      <c r="AP263" t="s">
        <v>2256</v>
      </c>
      <c r="AQ263" s="76" t="str">
        <f>HYPERLINK("https://t.co/KdCk3KoZPu")</f>
        <v>https://t.co/KdCk3KoZPu</v>
      </c>
      <c r="AR263" s="76" t="str">
        <f>HYPERLINK("http://www.vivayogamauladi.com")</f>
        <v>http://www.vivayogamauladi.com</v>
      </c>
      <c r="AS263" t="s">
        <v>2325</v>
      </c>
      <c r="AX263" s="76" t="str">
        <f>HYPERLINK("https://t.co/KdCk3KoZPu")</f>
        <v>https://t.co/KdCk3KoZPu</v>
      </c>
      <c r="AY263" t="b">
        <v>0</v>
      </c>
      <c r="BB263" t="b">
        <v>1</v>
      </c>
      <c r="BC263" t="b">
        <v>0</v>
      </c>
      <c r="BD263" t="b">
        <v>1</v>
      </c>
      <c r="BE263" t="b">
        <v>0</v>
      </c>
      <c r="BF263" t="b">
        <v>0</v>
      </c>
      <c r="BG263" t="b">
        <v>0</v>
      </c>
      <c r="BH263" t="b">
        <v>0</v>
      </c>
      <c r="BI263" s="76" t="str">
        <f>HYPERLINK("https://pbs.twimg.com/profile_banners/264301708/1628725661")</f>
        <v>https://pbs.twimg.com/profile_banners/264301708/1628725661</v>
      </c>
      <c r="BK263" t="s">
        <v>2343</v>
      </c>
      <c r="BL263" t="b">
        <v>0</v>
      </c>
      <c r="BN263" t="s">
        <v>65</v>
      </c>
      <c r="BO263" t="s">
        <v>2345</v>
      </c>
      <c r="BP263" s="76" t="str">
        <f>HYPERLINK("https://twitter.com/vivayogamauladi")</f>
        <v>https://twitter.com/vivayogamauladi</v>
      </c>
      <c r="BQ263" s="44"/>
      <c r="BR263" s="44"/>
      <c r="BS263" s="44"/>
      <c r="BT263" s="44"/>
      <c r="BU263" s="44"/>
      <c r="BV263" s="44"/>
      <c r="BW263" s="44"/>
      <c r="BX263" s="44"/>
      <c r="BY263" s="44"/>
      <c r="BZ263" s="44"/>
      <c r="CA263" s="44"/>
      <c r="CB263" s="45"/>
      <c r="CC263" s="44"/>
      <c r="CD263" s="45"/>
      <c r="CE263" s="44"/>
      <c r="CF263" s="45"/>
      <c r="CG263" s="44"/>
      <c r="CH263" s="45"/>
      <c r="CI263" s="44"/>
      <c r="CJ263" s="112" t="e">
        <f>REPLACE(INDEX(GroupVertices[Group],MATCH("~"&amp;Vertices[[#This Row],[Vertex]],GroupVertices[Vertex],0)),1,1,"")</f>
        <v>#N/A</v>
      </c>
      <c r="CK263" s="44"/>
      <c r="CL263" s="44"/>
      <c r="CM263" s="44"/>
      <c r="CN263" s="44"/>
      <c r="CO263" s="2"/>
    </row>
    <row r="264" spans="1:93" ht="41.45" customHeight="1">
      <c r="A264" s="59" t="s">
        <v>1484</v>
      </c>
      <c r="C264" s="60"/>
      <c r="D264" s="60" t="s">
        <v>64</v>
      </c>
      <c r="E264" s="61"/>
      <c r="F264" s="63"/>
      <c r="G264" s="92" t="str">
        <f>HYPERLINK("https://pbs.twimg.com/profile_images/1726283592425439232/ideBrriQ_normal.jpg")</f>
        <v>https://pbs.twimg.com/profile_images/1726283592425439232/ideBrriQ_normal.jpg</v>
      </c>
      <c r="H264" s="60"/>
      <c r="I264" s="64" t="str">
        <f>Vertices[[#This Row],[Vertex]]</f>
        <v>anyendia</v>
      </c>
      <c r="J264" s="65"/>
      <c r="K264" s="65"/>
      <c r="L264" s="64"/>
      <c r="M264" s="68"/>
      <c r="N264" s="69"/>
      <c r="O264" s="69"/>
      <c r="P264" s="70"/>
      <c r="Q264" s="71"/>
      <c r="R264" s="71"/>
      <c r="S264" s="78"/>
      <c r="T264" s="44"/>
      <c r="U264" s="44"/>
      <c r="V264" s="45"/>
      <c r="W264" s="45"/>
      <c r="X264" s="45"/>
      <c r="Y264" s="45"/>
      <c r="Z264" s="45"/>
      <c r="AA264" s="45"/>
      <c r="AB264" s="66">
        <v>264</v>
      </c>
      <c r="AC2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4" s="67"/>
      <c r="AE264" t="s">
        <v>1789</v>
      </c>
      <c r="AF264" s="74" t="s">
        <v>1925</v>
      </c>
      <c r="AG264">
        <v>11183</v>
      </c>
      <c r="AH264">
        <v>4784</v>
      </c>
      <c r="AI264">
        <v>11041</v>
      </c>
      <c r="AJ264">
        <v>1</v>
      </c>
      <c r="AK264">
        <v>23956</v>
      </c>
      <c r="AL264">
        <v>133</v>
      </c>
      <c r="AM264" t="b">
        <v>0</v>
      </c>
      <c r="AN264" s="73">
        <v>41942.33047453704</v>
      </c>
      <c r="AO264" t="s">
        <v>2012</v>
      </c>
      <c r="AP264" t="s">
        <v>2249</v>
      </c>
      <c r="AW264">
        <v>1.21261059983153E+18</v>
      </c>
      <c r="AY264" t="b">
        <v>0</v>
      </c>
      <c r="BB264" t="b">
        <v>1</v>
      </c>
      <c r="BC264" t="b">
        <v>0</v>
      </c>
      <c r="BD264" t="b">
        <v>1</v>
      </c>
      <c r="BE264" t="b">
        <v>0</v>
      </c>
      <c r="BF264" t="b">
        <v>1</v>
      </c>
      <c r="BG264" t="b">
        <v>0</v>
      </c>
      <c r="BH264" t="b">
        <v>0</v>
      </c>
      <c r="BI264" s="76" t="str">
        <f>HYPERLINK("https://pbs.twimg.com/profile_banners/2883021576/1671804240")</f>
        <v>https://pbs.twimg.com/profile_banners/2883021576/1671804240</v>
      </c>
      <c r="BK264" t="s">
        <v>2343</v>
      </c>
      <c r="BL264" t="b">
        <v>0</v>
      </c>
      <c r="BN264" t="s">
        <v>66</v>
      </c>
      <c r="BO264" t="s">
        <v>2345</v>
      </c>
      <c r="BP264" s="76" t="str">
        <f>HYPERLINK("https://twitter.com/anyendia")</f>
        <v>https://twitter.com/anyendia</v>
      </c>
      <c r="BQ264" s="44"/>
      <c r="BR264" s="44"/>
      <c r="BS264" s="44"/>
      <c r="BT264" s="44"/>
      <c r="BU264" s="44"/>
      <c r="BV264" s="44"/>
      <c r="BW264" s="44"/>
      <c r="BX264" s="44"/>
      <c r="BY264" s="44"/>
      <c r="BZ264" s="44"/>
      <c r="CA264" s="44"/>
      <c r="CB264" s="45"/>
      <c r="CC264" s="44"/>
      <c r="CD264" s="45"/>
      <c r="CE264" s="44"/>
      <c r="CF264" s="45"/>
      <c r="CG264" s="44"/>
      <c r="CH264" s="45"/>
      <c r="CI264" s="44"/>
      <c r="CJ264" s="112" t="e">
        <f>REPLACE(INDEX(GroupVertices[Group],MATCH("~"&amp;Vertices[[#This Row],[Vertex]],GroupVertices[Vertex],0)),1,1,"")</f>
        <v>#N/A</v>
      </c>
      <c r="CK264" s="44"/>
      <c r="CL264" s="44"/>
      <c r="CM264" s="44"/>
      <c r="CN264" s="44"/>
      <c r="CO264" s="2"/>
    </row>
    <row r="265" spans="1:93" ht="41.45" customHeight="1">
      <c r="A265" s="59" t="s">
        <v>1493</v>
      </c>
      <c r="C265" s="60"/>
      <c r="D265" s="60" t="s">
        <v>64</v>
      </c>
      <c r="E265" s="61"/>
      <c r="F265" s="63"/>
      <c r="G265" s="92" t="str">
        <f>HYPERLINK("https://pbs.twimg.com/profile_images/1726995366464413696/gvQ0IwqX_normal.jpg")</f>
        <v>https://pbs.twimg.com/profile_images/1726995366464413696/gvQ0IwqX_normal.jpg</v>
      </c>
      <c r="H265" s="60"/>
      <c r="I265" s="64" t="str">
        <f>Vertices[[#This Row],[Vertex]]</f>
        <v>sutanmangarahrp</v>
      </c>
      <c r="J265" s="65"/>
      <c r="K265" s="65"/>
      <c r="L265" s="64"/>
      <c r="M265" s="68"/>
      <c r="N265" s="69"/>
      <c r="O265" s="69"/>
      <c r="P265" s="70"/>
      <c r="Q265" s="71"/>
      <c r="R265" s="71"/>
      <c r="S265" s="78"/>
      <c r="T265" s="44"/>
      <c r="U265" s="44"/>
      <c r="V265" s="45"/>
      <c r="W265" s="45"/>
      <c r="X265" s="45"/>
      <c r="Y265" s="45"/>
      <c r="Z265" s="45"/>
      <c r="AA265" s="45"/>
      <c r="AB265" s="66">
        <v>265</v>
      </c>
      <c r="AC2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5" s="67"/>
      <c r="AE265" t="s">
        <v>1675</v>
      </c>
      <c r="AF265" s="74" t="s">
        <v>1935</v>
      </c>
      <c r="AG265">
        <v>10087</v>
      </c>
      <c r="AH265">
        <v>537</v>
      </c>
      <c r="AI265">
        <v>1989</v>
      </c>
      <c r="AJ265">
        <v>2</v>
      </c>
      <c r="AK265">
        <v>566</v>
      </c>
      <c r="AL265">
        <v>238</v>
      </c>
      <c r="AM265" t="b">
        <v>0</v>
      </c>
      <c r="AN265" s="73">
        <v>44818.7362037037</v>
      </c>
      <c r="AO265" t="s">
        <v>2018</v>
      </c>
      <c r="AP265" t="s">
        <v>2258</v>
      </c>
      <c r="AY265" t="b">
        <v>1</v>
      </c>
      <c r="BB265" t="b">
        <v>1</v>
      </c>
      <c r="BC265" t="b">
        <v>1</v>
      </c>
      <c r="BD265" t="b">
        <v>1</v>
      </c>
      <c r="BE265" t="b">
        <v>0</v>
      </c>
      <c r="BF265" t="b">
        <v>0</v>
      </c>
      <c r="BG265" t="b">
        <v>0</v>
      </c>
      <c r="BH265" t="b">
        <v>0</v>
      </c>
      <c r="BI265" s="76" t="str">
        <f>HYPERLINK("https://pbs.twimg.com/profile_banners/1570105080241885184/1693828839")</f>
        <v>https://pbs.twimg.com/profile_banners/1570105080241885184/1693828839</v>
      </c>
      <c r="BK265" t="s">
        <v>2343</v>
      </c>
      <c r="BL265" t="b">
        <v>0</v>
      </c>
      <c r="BN265" t="s">
        <v>65</v>
      </c>
      <c r="BO265" t="s">
        <v>2345</v>
      </c>
      <c r="BP265" s="76" t="str">
        <f>HYPERLINK("https://twitter.com/sutanmangarahrp")</f>
        <v>https://twitter.com/sutanmangarahrp</v>
      </c>
      <c r="BQ265" s="44"/>
      <c r="BR265" s="44"/>
      <c r="BS265" s="44"/>
      <c r="BT265" s="44"/>
      <c r="BU265" s="44"/>
      <c r="BV265" s="44"/>
      <c r="BW265" s="44"/>
      <c r="BX265" s="44"/>
      <c r="BY265" s="44"/>
      <c r="BZ265" s="44"/>
      <c r="CA265" s="44"/>
      <c r="CB265" s="45"/>
      <c r="CC265" s="44"/>
      <c r="CD265" s="45"/>
      <c r="CE265" s="44"/>
      <c r="CF265" s="45"/>
      <c r="CG265" s="44"/>
      <c r="CH265" s="45"/>
      <c r="CI265" s="44"/>
      <c r="CJ265" s="112" t="e">
        <f>REPLACE(INDEX(GroupVertices[Group],MATCH("~"&amp;Vertices[[#This Row],[Vertex]],GroupVertices[Vertex],0)),1,1,"")</f>
        <v>#N/A</v>
      </c>
      <c r="CK265" s="44"/>
      <c r="CL265" s="44"/>
      <c r="CM265" s="44"/>
      <c r="CN265" s="44"/>
      <c r="CO265" s="2"/>
    </row>
    <row r="266" spans="1:93" ht="41.45" customHeight="1">
      <c r="A266" s="79" t="s">
        <v>1494</v>
      </c>
      <c r="C266" s="60"/>
      <c r="D266" s="60" t="s">
        <v>64</v>
      </c>
      <c r="E266" s="61"/>
      <c r="F266" s="63"/>
      <c r="G266" s="92" t="str">
        <f>HYPERLINK("https://pbs.twimg.com/profile_images/1713755132855484416/t49ptRZT_normal.jpg")</f>
        <v>https://pbs.twimg.com/profile_images/1713755132855484416/t49ptRZT_normal.jpg</v>
      </c>
      <c r="H266" s="60"/>
      <c r="I266" s="64" t="str">
        <f>Vertices[[#This Row],[Vertex]]</f>
        <v>galih_akek2</v>
      </c>
      <c r="J266" s="65"/>
      <c r="K266" s="65"/>
      <c r="L266" s="64"/>
      <c r="M266" s="68"/>
      <c r="N266" s="69"/>
      <c r="O266" s="69"/>
      <c r="P266" s="70"/>
      <c r="Q266" s="71"/>
      <c r="R266" s="71"/>
      <c r="S266" s="78"/>
      <c r="T266" s="44"/>
      <c r="U266" s="44"/>
      <c r="V266" s="45"/>
      <c r="W266" s="45"/>
      <c r="X266" s="45"/>
      <c r="Y266" s="45"/>
      <c r="Z266" s="45"/>
      <c r="AA266" s="45"/>
      <c r="AB266" s="66">
        <v>266</v>
      </c>
      <c r="AC2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6" s="91"/>
      <c r="AE266" t="s">
        <v>1799</v>
      </c>
      <c r="AF266" s="74" t="s">
        <v>1936</v>
      </c>
      <c r="AG266">
        <v>5812</v>
      </c>
      <c r="AH266">
        <v>4438</v>
      </c>
      <c r="AI266">
        <v>91994</v>
      </c>
      <c r="AJ266">
        <v>0</v>
      </c>
      <c r="AK266">
        <v>125794</v>
      </c>
      <c r="AL266">
        <v>452</v>
      </c>
      <c r="AM266" t="b">
        <v>0</v>
      </c>
      <c r="AN266" s="73">
        <v>44310.06034722222</v>
      </c>
      <c r="AP266" t="s">
        <v>2259</v>
      </c>
      <c r="AW266">
        <v>1.42217869884165E+18</v>
      </c>
      <c r="AY266" t="b">
        <v>0</v>
      </c>
      <c r="BB266" t="b">
        <v>0</v>
      </c>
      <c r="BC266" t="b">
        <v>0</v>
      </c>
      <c r="BD266" t="b">
        <v>1</v>
      </c>
      <c r="BE266" t="b">
        <v>0</v>
      </c>
      <c r="BF266" t="b">
        <v>1</v>
      </c>
      <c r="BG266" t="b">
        <v>0</v>
      </c>
      <c r="BH266" t="b">
        <v>0</v>
      </c>
      <c r="BI266" s="76" t="str">
        <f>HYPERLINK("https://pbs.twimg.com/profile_banners/1385767067916271618/1619283361")</f>
        <v>https://pbs.twimg.com/profile_banners/1385767067916271618/1619283361</v>
      </c>
      <c r="BK266" t="s">
        <v>2343</v>
      </c>
      <c r="BL266" t="b">
        <v>0</v>
      </c>
      <c r="BN266" t="s">
        <v>65</v>
      </c>
      <c r="BO266" t="s">
        <v>2345</v>
      </c>
      <c r="BP266" s="76" t="str">
        <f>HYPERLINK("https://twitter.com/galih_akek2")</f>
        <v>https://twitter.com/galih_akek2</v>
      </c>
      <c r="BQ266" s="44"/>
      <c r="BR266" s="44"/>
      <c r="BS266" s="44"/>
      <c r="BT266" s="44"/>
      <c r="BU266" s="44"/>
      <c r="BV266" s="44"/>
      <c r="BW266" s="44"/>
      <c r="BX266" s="44"/>
      <c r="BY266" s="44"/>
      <c r="BZ266" s="44"/>
      <c r="CA266" s="44"/>
      <c r="CB266" s="45"/>
      <c r="CC266" s="44"/>
      <c r="CD266" s="45"/>
      <c r="CE266" s="44"/>
      <c r="CF266" s="45"/>
      <c r="CG266" s="44"/>
      <c r="CH266" s="45"/>
      <c r="CI266" s="44"/>
      <c r="CJ266" s="112" t="e">
        <f>REPLACE(INDEX(GroupVertices[Group],MATCH("~"&amp;Vertices[[#This Row],[Vertex]],GroupVertices[Vertex],0)),1,1,"")</f>
        <v>#N/A</v>
      </c>
      <c r="CK266" s="44"/>
      <c r="CL266" s="44"/>
      <c r="CM266" s="44"/>
      <c r="CN266" s="44"/>
      <c r="CO266" s="2"/>
    </row>
    <row r="267" spans="1:93" ht="41.45" customHeight="1">
      <c r="A267" s="59" t="s">
        <v>1483</v>
      </c>
      <c r="C267" s="60"/>
      <c r="D267" s="60" t="s">
        <v>64</v>
      </c>
      <c r="E267" s="61"/>
      <c r="F267" s="63"/>
      <c r="G267" s="92" t="str">
        <f>HYPERLINK("https://pbs.twimg.com/profile_images/1450027629269045255/C7eG6nih_normal.jpg")</f>
        <v>https://pbs.twimg.com/profile_images/1450027629269045255/C7eG6nih_normal.jpg</v>
      </c>
      <c r="H267" s="60"/>
      <c r="I267" s="64" t="str">
        <f>Vertices[[#This Row],[Vertex]]</f>
        <v>moenokrajoendah</v>
      </c>
      <c r="J267" s="65"/>
      <c r="K267" s="65"/>
      <c r="L267" s="64"/>
      <c r="M267" s="68"/>
      <c r="N267" s="69"/>
      <c r="O267" s="69"/>
      <c r="P267" s="70"/>
      <c r="Q267" s="71"/>
      <c r="R267" s="71"/>
      <c r="S267" s="78"/>
      <c r="T267" s="44"/>
      <c r="U267" s="44"/>
      <c r="V267" s="45"/>
      <c r="W267" s="45"/>
      <c r="X267" s="45"/>
      <c r="Y267" s="45"/>
      <c r="Z267" s="45"/>
      <c r="AA267" s="45"/>
      <c r="AB267" s="66">
        <v>267</v>
      </c>
      <c r="AC2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7" s="67"/>
      <c r="AE267" t="s">
        <v>1788</v>
      </c>
      <c r="AF267" s="74" t="s">
        <v>1924</v>
      </c>
      <c r="AG267">
        <v>5369</v>
      </c>
      <c r="AH267">
        <v>5159</v>
      </c>
      <c r="AI267">
        <v>18206</v>
      </c>
      <c r="AJ267">
        <v>0</v>
      </c>
      <c r="AK267">
        <v>62264</v>
      </c>
      <c r="AL267">
        <v>736</v>
      </c>
      <c r="AM267" t="b">
        <v>0</v>
      </c>
      <c r="AN267" s="73">
        <v>40930.35241898148</v>
      </c>
      <c r="AO267" t="s">
        <v>2011</v>
      </c>
      <c r="AP267" t="s">
        <v>2248</v>
      </c>
      <c r="AW267">
        <v>9.67768013347815E+17</v>
      </c>
      <c r="AY267" t="b">
        <v>0</v>
      </c>
      <c r="BB267" t="b">
        <v>0</v>
      </c>
      <c r="BC267" t="b">
        <v>1</v>
      </c>
      <c r="BD267" t="b">
        <v>0</v>
      </c>
      <c r="BE267" t="b">
        <v>0</v>
      </c>
      <c r="BF267" t="b">
        <v>1</v>
      </c>
      <c r="BG267" t="b">
        <v>0</v>
      </c>
      <c r="BH267" t="b">
        <v>0</v>
      </c>
      <c r="BI267" s="76" t="str">
        <f>HYPERLINK("https://pbs.twimg.com/profile_banners/470900510/1701229979")</f>
        <v>https://pbs.twimg.com/profile_banners/470900510/1701229979</v>
      </c>
      <c r="BK267" t="s">
        <v>2343</v>
      </c>
      <c r="BL267" t="b">
        <v>0</v>
      </c>
      <c r="BN267" t="s">
        <v>66</v>
      </c>
      <c r="BO267" t="s">
        <v>2345</v>
      </c>
      <c r="BP267" s="76" t="str">
        <f>HYPERLINK("https://twitter.com/moenokrajoendah")</f>
        <v>https://twitter.com/moenokrajoendah</v>
      </c>
      <c r="BQ267" s="44"/>
      <c r="BR267" s="44"/>
      <c r="BS267" s="44"/>
      <c r="BT267" s="44"/>
      <c r="BU267" s="44"/>
      <c r="BV267" s="44"/>
      <c r="BW267" s="44"/>
      <c r="BX267" s="44"/>
      <c r="BY267" s="44"/>
      <c r="BZ267" s="44"/>
      <c r="CA267" s="44"/>
      <c r="CB267" s="45"/>
      <c r="CC267" s="44"/>
      <c r="CD267" s="45"/>
      <c r="CE267" s="44"/>
      <c r="CF267" s="45"/>
      <c r="CG267" s="44"/>
      <c r="CH267" s="45"/>
      <c r="CI267" s="44"/>
      <c r="CJ267" s="112" t="e">
        <f>REPLACE(INDEX(GroupVertices[Group],MATCH("~"&amp;Vertices[[#This Row],[Vertex]],GroupVertices[Vertex],0)),1,1,"")</f>
        <v>#N/A</v>
      </c>
      <c r="CK267" s="44"/>
      <c r="CL267" s="44"/>
      <c r="CM267" s="44"/>
      <c r="CN267" s="44"/>
      <c r="CO267" s="2"/>
    </row>
    <row r="268" spans="1:93" ht="41.45" customHeight="1">
      <c r="A268" s="59" t="s">
        <v>1486</v>
      </c>
      <c r="C268" s="60"/>
      <c r="D268" s="60" t="s">
        <v>64</v>
      </c>
      <c r="E268" s="61"/>
      <c r="F268" s="63"/>
      <c r="G268" s="92" t="str">
        <f>HYPERLINK("https://pbs.twimg.com/profile_images/1533720088355844096/CCRSa5kx_normal.jpg")</f>
        <v>https://pbs.twimg.com/profile_images/1533720088355844096/CCRSa5kx_normal.jpg</v>
      </c>
      <c r="H268" s="60"/>
      <c r="I268" s="64" t="str">
        <f>Vertices[[#This Row],[Vertex]]</f>
        <v>lingsir_wengi16</v>
      </c>
      <c r="J268" s="65"/>
      <c r="K268" s="65"/>
      <c r="L268" s="64"/>
      <c r="M268" s="68"/>
      <c r="N268" s="69"/>
      <c r="O268" s="69"/>
      <c r="P268" s="70"/>
      <c r="Q268" s="71"/>
      <c r="R268" s="71"/>
      <c r="S268" s="78"/>
      <c r="T268" s="44"/>
      <c r="U268" s="44"/>
      <c r="V268" s="45"/>
      <c r="W268" s="45"/>
      <c r="X268" s="45"/>
      <c r="Y268" s="45"/>
      <c r="Z268" s="45"/>
      <c r="AA268" s="45"/>
      <c r="AB268" s="66">
        <v>268</v>
      </c>
      <c r="AC2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8" s="67"/>
      <c r="AE268" t="s">
        <v>1791</v>
      </c>
      <c r="AF268" s="74" t="s">
        <v>1927</v>
      </c>
      <c r="AG268">
        <v>4374</v>
      </c>
      <c r="AH268">
        <v>2670</v>
      </c>
      <c r="AI268">
        <v>8882</v>
      </c>
      <c r="AJ268">
        <v>0</v>
      </c>
      <c r="AK268">
        <v>20506</v>
      </c>
      <c r="AL268">
        <v>1234</v>
      </c>
      <c r="AM268" t="b">
        <v>0</v>
      </c>
      <c r="AN268" s="73">
        <v>44505.55012731482</v>
      </c>
      <c r="AP268" t="s">
        <v>2251</v>
      </c>
      <c r="AW268">
        <v>1.53067404863173E+18</v>
      </c>
      <c r="AY268" t="b">
        <v>0</v>
      </c>
      <c r="BB268" t="b">
        <v>0</v>
      </c>
      <c r="BC268" t="b">
        <v>1</v>
      </c>
      <c r="BD268" t="b">
        <v>1</v>
      </c>
      <c r="BE268" t="b">
        <v>0</v>
      </c>
      <c r="BF268" t="b">
        <v>0</v>
      </c>
      <c r="BG268" t="b">
        <v>0</v>
      </c>
      <c r="BH268" t="b">
        <v>0</v>
      </c>
      <c r="BI268" s="76" t="str">
        <f>HYPERLINK("https://pbs.twimg.com/profile_banners/1456610184411815936/1638836451")</f>
        <v>https://pbs.twimg.com/profile_banners/1456610184411815936/1638836451</v>
      </c>
      <c r="BK268" t="s">
        <v>2343</v>
      </c>
      <c r="BL268" t="b">
        <v>0</v>
      </c>
      <c r="BN268" t="s">
        <v>66</v>
      </c>
      <c r="BO268" t="s">
        <v>2345</v>
      </c>
      <c r="BP268" s="76" t="str">
        <f>HYPERLINK("https://twitter.com/lingsir_wengi16")</f>
        <v>https://twitter.com/lingsir_wengi16</v>
      </c>
      <c r="BQ268" s="44"/>
      <c r="BR268" s="44"/>
      <c r="BS268" s="44"/>
      <c r="BT268" s="44"/>
      <c r="BU268" s="44"/>
      <c r="BV268" s="44"/>
      <c r="BW268" s="44"/>
      <c r="BX268" s="44"/>
      <c r="BY268" s="44"/>
      <c r="BZ268" s="44"/>
      <c r="CA268" s="44"/>
      <c r="CB268" s="45"/>
      <c r="CC268" s="44"/>
      <c r="CD268" s="45"/>
      <c r="CE268" s="44"/>
      <c r="CF268" s="45"/>
      <c r="CG268" s="44"/>
      <c r="CH268" s="45"/>
      <c r="CI268" s="44"/>
      <c r="CJ268" s="112" t="e">
        <f>REPLACE(INDEX(GroupVertices[Group],MATCH("~"&amp;Vertices[[#This Row],[Vertex]],GroupVertices[Vertex],0)),1,1,"")</f>
        <v>#N/A</v>
      </c>
      <c r="CK268" s="44"/>
      <c r="CL268" s="44"/>
      <c r="CM268" s="44"/>
      <c r="CN268" s="44"/>
      <c r="CO268" s="2"/>
    </row>
    <row r="269" spans="1:93" ht="41.45" customHeight="1">
      <c r="A269" s="59" t="s">
        <v>1480</v>
      </c>
      <c r="C269" s="60"/>
      <c r="D269" s="60" t="s">
        <v>64</v>
      </c>
      <c r="E269" s="61"/>
      <c r="F269" s="63"/>
      <c r="G269" s="92" t="str">
        <f>HYPERLINK("https://pbs.twimg.com/profile_images/1718111648672858112/jYseTHc2_normal.jpg")</f>
        <v>https://pbs.twimg.com/profile_images/1718111648672858112/jYseTHc2_normal.jpg</v>
      </c>
      <c r="H269" s="60"/>
      <c r="I269" s="64" t="str">
        <f>Vertices[[#This Row],[Vertex]]</f>
        <v>tambaati_</v>
      </c>
      <c r="J269" s="65"/>
      <c r="K269" s="65"/>
      <c r="L269" s="64"/>
      <c r="M269" s="68"/>
      <c r="N269" s="69"/>
      <c r="O269" s="69"/>
      <c r="P269" s="70"/>
      <c r="Q269" s="71"/>
      <c r="R269" s="71"/>
      <c r="S269" s="78"/>
      <c r="T269" s="44"/>
      <c r="U269" s="44"/>
      <c r="V269" s="45"/>
      <c r="W269" s="45"/>
      <c r="X269" s="45"/>
      <c r="Y269" s="45"/>
      <c r="Z269" s="45"/>
      <c r="AA269" s="45"/>
      <c r="AB269" s="66">
        <v>269</v>
      </c>
      <c r="AC2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9" s="67"/>
      <c r="AE269" t="s">
        <v>1785</v>
      </c>
      <c r="AF269" s="74" t="s">
        <v>1921</v>
      </c>
      <c r="AG269">
        <v>2569</v>
      </c>
      <c r="AH269">
        <v>1827</v>
      </c>
      <c r="AI269">
        <v>6706</v>
      </c>
      <c r="AJ269">
        <v>0</v>
      </c>
      <c r="AK269">
        <v>4091</v>
      </c>
      <c r="AL269">
        <v>203</v>
      </c>
      <c r="AM269" t="b">
        <v>0</v>
      </c>
      <c r="AN269" s="73">
        <v>44523.95596064815</v>
      </c>
      <c r="AP269" t="s">
        <v>2245</v>
      </c>
      <c r="AY269" t="b">
        <v>0</v>
      </c>
      <c r="BB269" t="b">
        <v>0</v>
      </c>
      <c r="BC269" t="b">
        <v>1</v>
      </c>
      <c r="BD269" t="b">
        <v>1</v>
      </c>
      <c r="BE269" t="b">
        <v>0</v>
      </c>
      <c r="BF269" t="b">
        <v>0</v>
      </c>
      <c r="BG269" t="b">
        <v>0</v>
      </c>
      <c r="BH269" t="b">
        <v>0</v>
      </c>
      <c r="BI269" s="76" t="str">
        <f>HYPERLINK("https://pbs.twimg.com/profile_banners/1463280235567222784/1698465445")</f>
        <v>https://pbs.twimg.com/profile_banners/1463280235567222784/1698465445</v>
      </c>
      <c r="BK269" t="s">
        <v>2343</v>
      </c>
      <c r="BL269" t="b">
        <v>0</v>
      </c>
      <c r="BN269" t="s">
        <v>66</v>
      </c>
      <c r="BO269" t="s">
        <v>2345</v>
      </c>
      <c r="BP269" s="76" t="str">
        <f>HYPERLINK("https://twitter.com/tambaati_")</f>
        <v>https://twitter.com/tambaati_</v>
      </c>
      <c r="BQ269" s="44"/>
      <c r="BR269" s="44"/>
      <c r="BS269" s="44"/>
      <c r="BT269" s="44"/>
      <c r="BU269" s="44"/>
      <c r="BV269" s="44"/>
      <c r="BW269" s="44"/>
      <c r="BX269" s="44"/>
      <c r="BY269" s="44"/>
      <c r="BZ269" s="44"/>
      <c r="CA269" s="44"/>
      <c r="CB269" s="45"/>
      <c r="CC269" s="44"/>
      <c r="CD269" s="45"/>
      <c r="CE269" s="44"/>
      <c r="CF269" s="45"/>
      <c r="CG269" s="44"/>
      <c r="CH269" s="45"/>
      <c r="CI269" s="44"/>
      <c r="CJ269" s="112" t="e">
        <f>REPLACE(INDEX(GroupVertices[Group],MATCH("~"&amp;Vertices[[#This Row],[Vertex]],GroupVertices[Vertex],0)),1,1,"")</f>
        <v>#N/A</v>
      </c>
      <c r="CK269" s="44"/>
      <c r="CL269" s="44"/>
      <c r="CM269" s="44"/>
      <c r="CN269" s="44"/>
      <c r="CO269" s="2"/>
    </row>
    <row r="270" spans="1:93" ht="41.45" customHeight="1">
      <c r="A270" s="59" t="s">
        <v>1479</v>
      </c>
      <c r="C270" s="60"/>
      <c r="D270" s="60" t="s">
        <v>64</v>
      </c>
      <c r="E270" s="61"/>
      <c r="F270" s="63"/>
      <c r="G270" s="92" t="str">
        <f>HYPERLINK("https://pbs.twimg.com/profile_images/1609860407757529093/gmgTdKaX_normal.jpg")</f>
        <v>https://pbs.twimg.com/profile_images/1609860407757529093/gmgTdKaX_normal.jpg</v>
      </c>
      <c r="H270" s="60"/>
      <c r="I270" s="64" t="str">
        <f>Vertices[[#This Row],[Vertex]]</f>
        <v>akun_hibahan</v>
      </c>
      <c r="J270" s="65"/>
      <c r="K270" s="65"/>
      <c r="L270" s="64"/>
      <c r="M270" s="68"/>
      <c r="N270" s="69"/>
      <c r="O270" s="69"/>
      <c r="P270" s="70"/>
      <c r="Q270" s="71"/>
      <c r="R270" s="71"/>
      <c r="S270" s="78"/>
      <c r="T270" s="44"/>
      <c r="U270" s="44"/>
      <c r="V270" s="45"/>
      <c r="W270" s="45"/>
      <c r="X270" s="45"/>
      <c r="Y270" s="45"/>
      <c r="Z270" s="45"/>
      <c r="AA270" s="45"/>
      <c r="AB270" s="66">
        <v>270</v>
      </c>
      <c r="AC2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0" s="67"/>
      <c r="AE270" t="s">
        <v>1784</v>
      </c>
      <c r="AF270" s="74" t="s">
        <v>1920</v>
      </c>
      <c r="AG270">
        <v>2431</v>
      </c>
      <c r="AH270">
        <v>2142</v>
      </c>
      <c r="AI270">
        <v>32936</v>
      </c>
      <c r="AJ270">
        <v>0</v>
      </c>
      <c r="AK270">
        <v>90139</v>
      </c>
      <c r="AL270">
        <v>1996</v>
      </c>
      <c r="AM270" t="b">
        <v>0</v>
      </c>
      <c r="AN270" s="73">
        <v>44333.594143518516</v>
      </c>
      <c r="AO270" t="s">
        <v>2010</v>
      </c>
      <c r="AP270" t="s">
        <v>2244</v>
      </c>
      <c r="AW270">
        <v>1.59167253855983E+18</v>
      </c>
      <c r="AY270" t="b">
        <v>0</v>
      </c>
      <c r="BB270" t="b">
        <v>0</v>
      </c>
      <c r="BC270" t="b">
        <v>0</v>
      </c>
      <c r="BD270" t="b">
        <v>1</v>
      </c>
      <c r="BE270" t="b">
        <v>0</v>
      </c>
      <c r="BF270" t="b">
        <v>1</v>
      </c>
      <c r="BG270" t="b">
        <v>0</v>
      </c>
      <c r="BH270" t="b">
        <v>0</v>
      </c>
      <c r="BI270" s="76" t="str">
        <f>HYPERLINK("https://pbs.twimg.com/profile_banners/1394295475545677830/1672654600")</f>
        <v>https://pbs.twimg.com/profile_banners/1394295475545677830/1672654600</v>
      </c>
      <c r="BK270" t="s">
        <v>2343</v>
      </c>
      <c r="BL270" t="b">
        <v>0</v>
      </c>
      <c r="BN270" t="s">
        <v>66</v>
      </c>
      <c r="BO270" t="s">
        <v>2345</v>
      </c>
      <c r="BP270" s="76" t="str">
        <f>HYPERLINK("https://twitter.com/akun_hibahan")</f>
        <v>https://twitter.com/akun_hibahan</v>
      </c>
      <c r="BQ270" s="44"/>
      <c r="BR270" s="44"/>
      <c r="BS270" s="44"/>
      <c r="BT270" s="44"/>
      <c r="BU270" s="44"/>
      <c r="BV270" s="44"/>
      <c r="BW270" s="44"/>
      <c r="BX270" s="44"/>
      <c r="BY270" s="44"/>
      <c r="BZ270" s="44"/>
      <c r="CA270" s="44"/>
      <c r="CB270" s="45"/>
      <c r="CC270" s="44"/>
      <c r="CD270" s="45"/>
      <c r="CE270" s="44"/>
      <c r="CF270" s="45"/>
      <c r="CG270" s="44"/>
      <c r="CH270" s="45"/>
      <c r="CI270" s="44"/>
      <c r="CJ270" s="112" t="e">
        <f>REPLACE(INDEX(GroupVertices[Group],MATCH("~"&amp;Vertices[[#This Row],[Vertex]],GroupVertices[Vertex],0)),1,1,"")</f>
        <v>#N/A</v>
      </c>
      <c r="CK270" s="44"/>
      <c r="CL270" s="44"/>
      <c r="CM270" s="44"/>
      <c r="CN270" s="44"/>
      <c r="CO270" s="2"/>
    </row>
    <row r="271" spans="1:93" ht="41.45" customHeight="1">
      <c r="A271" s="59" t="s">
        <v>1487</v>
      </c>
      <c r="C271" s="60"/>
      <c r="D271" s="60" t="s">
        <v>64</v>
      </c>
      <c r="E271" s="61"/>
      <c r="F271" s="63"/>
      <c r="G271" s="92" t="str">
        <f>HYPERLINK("https://pbs.twimg.com/profile_images/1555639618325733376/vhvvDa_F_normal.jpg")</f>
        <v>https://pbs.twimg.com/profile_images/1555639618325733376/vhvvDa_F_normal.jpg</v>
      </c>
      <c r="H271" s="60"/>
      <c r="I271" s="64" t="str">
        <f>Vertices[[#This Row],[Vertex]]</f>
        <v>qtrix</v>
      </c>
      <c r="J271" s="65"/>
      <c r="K271" s="65"/>
      <c r="L271" s="64"/>
      <c r="M271" s="68"/>
      <c r="N271" s="69"/>
      <c r="O271" s="69"/>
      <c r="P271" s="70"/>
      <c r="Q271" s="71"/>
      <c r="R271" s="71"/>
      <c r="S271" s="78"/>
      <c r="T271" s="44"/>
      <c r="U271" s="44"/>
      <c r="V271" s="45"/>
      <c r="W271" s="45"/>
      <c r="X271" s="45"/>
      <c r="Y271" s="45"/>
      <c r="Z271" s="45"/>
      <c r="AA271" s="45"/>
      <c r="AB271" s="66">
        <v>271</v>
      </c>
      <c r="AC2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1" s="67"/>
      <c r="AE271" t="s">
        <v>1792</v>
      </c>
      <c r="AF271" s="74" t="s">
        <v>1928</v>
      </c>
      <c r="AG271">
        <v>2041</v>
      </c>
      <c r="AH271">
        <v>820</v>
      </c>
      <c r="AI271">
        <v>44750</v>
      </c>
      <c r="AJ271">
        <v>5</v>
      </c>
      <c r="AK271">
        <v>15200</v>
      </c>
      <c r="AL271">
        <v>9047</v>
      </c>
      <c r="AM271" t="b">
        <v>0</v>
      </c>
      <c r="AN271" s="73">
        <v>40063.83546296296</v>
      </c>
      <c r="AO271" t="s">
        <v>2014</v>
      </c>
      <c r="AP271" t="s">
        <v>2252</v>
      </c>
      <c r="AW271">
        <v>1.57516371959567E+18</v>
      </c>
      <c r="AY271" t="b">
        <v>0</v>
      </c>
      <c r="BB271" t="b">
        <v>0</v>
      </c>
      <c r="BC271" t="b">
        <v>0</v>
      </c>
      <c r="BD271" t="b">
        <v>0</v>
      </c>
      <c r="BE271" t="b">
        <v>0</v>
      </c>
      <c r="BF271" t="b">
        <v>1</v>
      </c>
      <c r="BG271" t="b">
        <v>0</v>
      </c>
      <c r="BH271" t="b">
        <v>0</v>
      </c>
      <c r="BI271" s="76" t="str">
        <f>HYPERLINK("https://pbs.twimg.com/profile_banners/72368149/1657290629")</f>
        <v>https://pbs.twimg.com/profile_banners/72368149/1657290629</v>
      </c>
      <c r="BK271" t="s">
        <v>2343</v>
      </c>
      <c r="BL271" t="b">
        <v>0</v>
      </c>
      <c r="BN271" t="s">
        <v>66</v>
      </c>
      <c r="BO271" t="s">
        <v>2345</v>
      </c>
      <c r="BP271" s="76" t="str">
        <f>HYPERLINK("https://twitter.com/qtrix")</f>
        <v>https://twitter.com/qtrix</v>
      </c>
      <c r="BQ271" s="44"/>
      <c r="BR271" s="44"/>
      <c r="BS271" s="44"/>
      <c r="BT271" s="44"/>
      <c r="BU271" s="44"/>
      <c r="BV271" s="44"/>
      <c r="BW271" s="44"/>
      <c r="BX271" s="44"/>
      <c r="BY271" s="44"/>
      <c r="BZ271" s="44"/>
      <c r="CA271" s="44"/>
      <c r="CB271" s="45"/>
      <c r="CC271" s="44"/>
      <c r="CD271" s="45"/>
      <c r="CE271" s="44"/>
      <c r="CF271" s="45"/>
      <c r="CG271" s="44"/>
      <c r="CH271" s="45"/>
      <c r="CI271" s="44"/>
      <c r="CJ271" s="112" t="e">
        <f>REPLACE(INDEX(GroupVertices[Group],MATCH("~"&amp;Vertices[[#This Row],[Vertex]],GroupVertices[Vertex],0)),1,1,"")</f>
        <v>#N/A</v>
      </c>
      <c r="CK271" s="44"/>
      <c r="CL271" s="44"/>
      <c r="CM271" s="44"/>
      <c r="CN271" s="44"/>
      <c r="CO271" s="2"/>
    </row>
    <row r="272" spans="1:93" ht="41.45" customHeight="1">
      <c r="A272" s="59" t="s">
        <v>1488</v>
      </c>
      <c r="C272" s="60"/>
      <c r="D272" s="60" t="s">
        <v>64</v>
      </c>
      <c r="E272" s="61"/>
      <c r="F272" s="63"/>
      <c r="G272" s="92" t="str">
        <f>HYPERLINK("https://pbs.twimg.com/profile_images/1528166737497452544/eQfJ6TFW_normal.jpg")</f>
        <v>https://pbs.twimg.com/profile_images/1528166737497452544/eQfJ6TFW_normal.jpg</v>
      </c>
      <c r="H272" s="60"/>
      <c r="I272" s="64" t="str">
        <f>Vertices[[#This Row],[Vertex]]</f>
        <v>aziemramsey</v>
      </c>
      <c r="J272" s="65"/>
      <c r="K272" s="65"/>
      <c r="L272" s="64"/>
      <c r="M272" s="68"/>
      <c r="N272" s="69"/>
      <c r="O272" s="69"/>
      <c r="P272" s="70"/>
      <c r="Q272" s="71"/>
      <c r="R272" s="71"/>
      <c r="S272" s="78"/>
      <c r="T272" s="44"/>
      <c r="U272" s="44"/>
      <c r="V272" s="45"/>
      <c r="W272" s="45"/>
      <c r="X272" s="45"/>
      <c r="Y272" s="45"/>
      <c r="Z272" s="45"/>
      <c r="AA272" s="45"/>
      <c r="AB272" s="66">
        <v>272</v>
      </c>
      <c r="AC2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2" s="67"/>
      <c r="AE272" t="s">
        <v>1793</v>
      </c>
      <c r="AF272" s="74" t="s">
        <v>1929</v>
      </c>
      <c r="AG272">
        <v>1034</v>
      </c>
      <c r="AH272">
        <v>916</v>
      </c>
      <c r="AI272">
        <v>6335</v>
      </c>
      <c r="AJ272">
        <v>4</v>
      </c>
      <c r="AK272">
        <v>12626</v>
      </c>
      <c r="AL272">
        <v>286</v>
      </c>
      <c r="AM272" t="b">
        <v>0</v>
      </c>
      <c r="AN272" s="73">
        <v>42861.349710648145</v>
      </c>
      <c r="AO272" t="s">
        <v>2015</v>
      </c>
      <c r="AW272">
        <v>1.40691622869895E+18</v>
      </c>
      <c r="AY272" t="b">
        <v>0</v>
      </c>
      <c r="BB272" t="b">
        <v>0</v>
      </c>
      <c r="BC272" t="b">
        <v>0</v>
      </c>
      <c r="BD272" t="b">
        <v>1</v>
      </c>
      <c r="BE272" t="b">
        <v>0</v>
      </c>
      <c r="BF272" t="b">
        <v>1</v>
      </c>
      <c r="BG272" t="b">
        <v>0</v>
      </c>
      <c r="BH272" t="b">
        <v>0</v>
      </c>
      <c r="BI272" s="76" t="str">
        <f>HYPERLINK("https://pbs.twimg.com/profile_banners/860772012796530688/1567615636")</f>
        <v>https://pbs.twimg.com/profile_banners/860772012796530688/1567615636</v>
      </c>
      <c r="BK272" t="s">
        <v>2343</v>
      </c>
      <c r="BL272" t="b">
        <v>0</v>
      </c>
      <c r="BN272" t="s">
        <v>66</v>
      </c>
      <c r="BO272" t="s">
        <v>2345</v>
      </c>
      <c r="BP272" s="76" t="str">
        <f>HYPERLINK("https://twitter.com/aziemramsey")</f>
        <v>https://twitter.com/aziemramsey</v>
      </c>
      <c r="BQ272" s="44"/>
      <c r="BR272" s="44"/>
      <c r="BS272" s="44"/>
      <c r="BT272" s="44"/>
      <c r="BU272" s="44"/>
      <c r="BV272" s="44"/>
      <c r="BW272" s="44"/>
      <c r="BX272" s="44"/>
      <c r="BY272" s="44"/>
      <c r="BZ272" s="44"/>
      <c r="CA272" s="44"/>
      <c r="CB272" s="45"/>
      <c r="CC272" s="44"/>
      <c r="CD272" s="45"/>
      <c r="CE272" s="44"/>
      <c r="CF272" s="45"/>
      <c r="CG272" s="44"/>
      <c r="CH272" s="45"/>
      <c r="CI272" s="44"/>
      <c r="CJ272" s="112" t="e">
        <f>REPLACE(INDEX(GroupVertices[Group],MATCH("~"&amp;Vertices[[#This Row],[Vertex]],GroupVertices[Vertex],0)),1,1,"")</f>
        <v>#N/A</v>
      </c>
      <c r="CK272" s="44"/>
      <c r="CL272" s="44"/>
      <c r="CM272" s="44"/>
      <c r="CN272" s="44"/>
      <c r="CO272" s="2"/>
    </row>
    <row r="273" spans="1:93" ht="41.45" customHeight="1">
      <c r="A273" s="59" t="s">
        <v>1489</v>
      </c>
      <c r="C273" s="60"/>
      <c r="D273" s="60" t="s">
        <v>64</v>
      </c>
      <c r="E273" s="61"/>
      <c r="F273" s="63"/>
      <c r="G273" s="92" t="str">
        <f>HYPERLINK("https://pbs.twimg.com/profile_images/1377537870261448705/120LbFEM_normal.jpg")</f>
        <v>https://pbs.twimg.com/profile_images/1377537870261448705/120LbFEM_normal.jpg</v>
      </c>
      <c r="H273" s="60"/>
      <c r="I273" s="64" t="str">
        <f>Vertices[[#This Row],[Vertex]]</f>
        <v>esusi2016</v>
      </c>
      <c r="J273" s="65"/>
      <c r="K273" s="65"/>
      <c r="L273" s="64"/>
      <c r="M273" s="68"/>
      <c r="N273" s="69"/>
      <c r="O273" s="69"/>
      <c r="P273" s="70"/>
      <c r="Q273" s="71"/>
      <c r="R273" s="71"/>
      <c r="S273" s="78"/>
      <c r="T273" s="44"/>
      <c r="U273" s="44"/>
      <c r="V273" s="45"/>
      <c r="W273" s="45"/>
      <c r="X273" s="45"/>
      <c r="Y273" s="45"/>
      <c r="Z273" s="45"/>
      <c r="AA273" s="45"/>
      <c r="AB273" s="66">
        <v>273</v>
      </c>
      <c r="AC2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3" s="67"/>
      <c r="AE273" t="s">
        <v>1794</v>
      </c>
      <c r="AF273" s="74" t="s">
        <v>1930</v>
      </c>
      <c r="AG273">
        <v>443</v>
      </c>
      <c r="AH273">
        <v>557</v>
      </c>
      <c r="AI273">
        <v>30180</v>
      </c>
      <c r="AJ273">
        <v>0</v>
      </c>
      <c r="AK273">
        <v>21216</v>
      </c>
      <c r="AL273">
        <v>13</v>
      </c>
      <c r="AM273" t="b">
        <v>0</v>
      </c>
      <c r="AN273" s="73">
        <v>42482.35328703704</v>
      </c>
      <c r="AO273" t="s">
        <v>2016</v>
      </c>
      <c r="AP273" t="s">
        <v>2253</v>
      </c>
      <c r="AY273" t="b">
        <v>0</v>
      </c>
      <c r="BB273" t="b">
        <v>0</v>
      </c>
      <c r="BC273" t="b">
        <v>1</v>
      </c>
      <c r="BD273" t="b">
        <v>1</v>
      </c>
      <c r="BE273" t="b">
        <v>0</v>
      </c>
      <c r="BF273" t="b">
        <v>1</v>
      </c>
      <c r="BG273" t="b">
        <v>0</v>
      </c>
      <c r="BH273" t="b">
        <v>0</v>
      </c>
      <c r="BI273" s="76" t="str">
        <f>HYPERLINK("https://pbs.twimg.com/profile_banners/723428311678865408/1617265535")</f>
        <v>https://pbs.twimg.com/profile_banners/723428311678865408/1617265535</v>
      </c>
      <c r="BK273" t="s">
        <v>2343</v>
      </c>
      <c r="BL273" t="b">
        <v>0</v>
      </c>
      <c r="BN273" t="s">
        <v>66</v>
      </c>
      <c r="BO273" t="s">
        <v>2345</v>
      </c>
      <c r="BP273" s="76" t="str">
        <f>HYPERLINK("https://twitter.com/esusi2016")</f>
        <v>https://twitter.com/esusi2016</v>
      </c>
      <c r="BQ273" s="44"/>
      <c r="BR273" s="44"/>
      <c r="BS273" s="44"/>
      <c r="BT273" s="44"/>
      <c r="BU273" s="44"/>
      <c r="BV273" s="44"/>
      <c r="BW273" s="44"/>
      <c r="BX273" s="44"/>
      <c r="BY273" s="44"/>
      <c r="BZ273" s="44"/>
      <c r="CA273" s="44"/>
      <c r="CB273" s="45"/>
      <c r="CC273" s="44"/>
      <c r="CD273" s="45"/>
      <c r="CE273" s="44"/>
      <c r="CF273" s="45"/>
      <c r="CG273" s="44"/>
      <c r="CH273" s="45"/>
      <c r="CI273" s="44"/>
      <c r="CJ273" s="112" t="e">
        <f>REPLACE(INDEX(GroupVertices[Group],MATCH("~"&amp;Vertices[[#This Row],[Vertex]],GroupVertices[Vertex],0)),1,1,"")</f>
        <v>#N/A</v>
      </c>
      <c r="CK273" s="44"/>
      <c r="CL273" s="44"/>
      <c r="CM273" s="44"/>
      <c r="CN273" s="44"/>
      <c r="CO273" s="2"/>
    </row>
    <row r="274" spans="1:93" ht="41.45" customHeight="1">
      <c r="A274" s="59" t="s">
        <v>1481</v>
      </c>
      <c r="C274" s="60"/>
      <c r="D274" s="60" t="s">
        <v>64</v>
      </c>
      <c r="E274" s="61"/>
      <c r="F274" s="63"/>
      <c r="G274" s="92" t="str">
        <f>HYPERLINK("https://pbs.twimg.com/profile_images/1559139260145745922/oTdhh5me_normal.jpg")</f>
        <v>https://pbs.twimg.com/profile_images/1559139260145745922/oTdhh5me_normal.jpg</v>
      </c>
      <c r="H274" s="60"/>
      <c r="I274" s="64" t="str">
        <f>Vertices[[#This Row],[Vertex]]</f>
        <v>encus_susi</v>
      </c>
      <c r="J274" s="65"/>
      <c r="K274" s="65"/>
      <c r="L274" s="64"/>
      <c r="M274" s="68"/>
      <c r="N274" s="69"/>
      <c r="O274" s="69"/>
      <c r="P274" s="70"/>
      <c r="Q274" s="71"/>
      <c r="R274" s="71"/>
      <c r="S274" s="78"/>
      <c r="T274" s="44"/>
      <c r="U274" s="44"/>
      <c r="V274" s="45"/>
      <c r="W274" s="45"/>
      <c r="X274" s="45"/>
      <c r="Y274" s="45"/>
      <c r="Z274" s="45"/>
      <c r="AA274" s="45"/>
      <c r="AB274" s="66">
        <v>274</v>
      </c>
      <c r="AC2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4" s="67"/>
      <c r="AE274" t="s">
        <v>1786</v>
      </c>
      <c r="AF274" s="74" t="s">
        <v>1922</v>
      </c>
      <c r="AG274">
        <v>354</v>
      </c>
      <c r="AH274">
        <v>638</v>
      </c>
      <c r="AI274">
        <v>2802</v>
      </c>
      <c r="AJ274">
        <v>0</v>
      </c>
      <c r="AK274">
        <v>5860</v>
      </c>
      <c r="AL274">
        <v>86</v>
      </c>
      <c r="AM274" t="b">
        <v>0</v>
      </c>
      <c r="AN274" s="73">
        <v>44325.62658564815</v>
      </c>
      <c r="AP274" t="s">
        <v>2246</v>
      </c>
      <c r="AY274" t="b">
        <v>0</v>
      </c>
      <c r="BB274" t="b">
        <v>0</v>
      </c>
      <c r="BC274" t="b">
        <v>1</v>
      </c>
      <c r="BD274" t="b">
        <v>1</v>
      </c>
      <c r="BE274" t="b">
        <v>0</v>
      </c>
      <c r="BF274" t="b">
        <v>0</v>
      </c>
      <c r="BG274" t="b">
        <v>0</v>
      </c>
      <c r="BH274" t="b">
        <v>0</v>
      </c>
      <c r="BI274" s="76" t="str">
        <f>HYPERLINK("https://pbs.twimg.com/profile_banners/1391408065027612676/1648611883")</f>
        <v>https://pbs.twimg.com/profile_banners/1391408065027612676/1648611883</v>
      </c>
      <c r="BK274" t="s">
        <v>2343</v>
      </c>
      <c r="BL274" t="b">
        <v>0</v>
      </c>
      <c r="BN274" t="s">
        <v>66</v>
      </c>
      <c r="BO274" t="s">
        <v>2345</v>
      </c>
      <c r="BP274" s="76" t="str">
        <f>HYPERLINK("https://twitter.com/encus_susi")</f>
        <v>https://twitter.com/encus_susi</v>
      </c>
      <c r="BQ274" s="44"/>
      <c r="BR274" s="44"/>
      <c r="BS274" s="44"/>
      <c r="BT274" s="44"/>
      <c r="BU274" s="44"/>
      <c r="BV274" s="44"/>
      <c r="BW274" s="44"/>
      <c r="BX274" s="44"/>
      <c r="BY274" s="44"/>
      <c r="BZ274" s="44"/>
      <c r="CA274" s="44"/>
      <c r="CB274" s="45"/>
      <c r="CC274" s="44"/>
      <c r="CD274" s="45"/>
      <c r="CE274" s="44"/>
      <c r="CF274" s="45"/>
      <c r="CG274" s="44"/>
      <c r="CH274" s="45"/>
      <c r="CI274" s="44"/>
      <c r="CJ274" s="112" t="e">
        <f>REPLACE(INDEX(GroupVertices[Group],MATCH("~"&amp;Vertices[[#This Row],[Vertex]],GroupVertices[Vertex],0)),1,1,"")</f>
        <v>#N/A</v>
      </c>
      <c r="CK274" s="44"/>
      <c r="CL274" s="44"/>
      <c r="CM274" s="44"/>
      <c r="CN274" s="44"/>
      <c r="CO274" s="2"/>
    </row>
    <row r="275" spans="1:93" ht="41.45" customHeight="1">
      <c r="A275" s="59" t="s">
        <v>741</v>
      </c>
      <c r="C275" s="60"/>
      <c r="D275" s="60" t="s">
        <v>64</v>
      </c>
      <c r="E275" s="61"/>
      <c r="F275" s="63"/>
      <c r="G275" s="92" t="str">
        <f>HYPERLINK("https://pbs.twimg.com/profile_images/1623715470548553728/_fWbmBUZ_normal.jpg")</f>
        <v>https://pbs.twimg.com/profile_images/1623715470548553728/_fWbmBUZ_normal.jpg</v>
      </c>
      <c r="H275" s="60"/>
      <c r="I275" s="64" t="str">
        <f>Vertices[[#This Row],[Vertex]]</f>
        <v>timurandproud</v>
      </c>
      <c r="J275" s="65"/>
      <c r="K275" s="65"/>
      <c r="L275" s="64"/>
      <c r="M275" s="68"/>
      <c r="N275" s="69"/>
      <c r="O275" s="69"/>
      <c r="P275" s="70"/>
      <c r="Q275" s="71"/>
      <c r="R275" s="71"/>
      <c r="S275" s="78"/>
      <c r="T275" s="44"/>
      <c r="U275" s="44"/>
      <c r="V275" s="45"/>
      <c r="W275" s="45"/>
      <c r="X275" s="45"/>
      <c r="Y275" s="45"/>
      <c r="Z275" s="45"/>
      <c r="AA275" s="45"/>
      <c r="AB275" s="66">
        <v>275</v>
      </c>
      <c r="AC2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5" s="67"/>
      <c r="AE275" t="s">
        <v>1798</v>
      </c>
      <c r="AF275" s="74" t="s">
        <v>1934</v>
      </c>
      <c r="AG275">
        <v>316</v>
      </c>
      <c r="AH275">
        <v>344</v>
      </c>
      <c r="AI275">
        <v>5219</v>
      </c>
      <c r="AJ275">
        <v>0</v>
      </c>
      <c r="AK275">
        <v>13708</v>
      </c>
      <c r="AL275">
        <v>74</v>
      </c>
      <c r="AM275" t="b">
        <v>0</v>
      </c>
      <c r="AN275" s="73">
        <v>40491.37519675926</v>
      </c>
      <c r="AP275" t="s">
        <v>2257</v>
      </c>
      <c r="AY275" t="b">
        <v>0</v>
      </c>
      <c r="BB275" t="b">
        <v>0</v>
      </c>
      <c r="BC275" t="b">
        <v>0</v>
      </c>
      <c r="BD275" t="b">
        <v>0</v>
      </c>
      <c r="BE275" t="b">
        <v>0</v>
      </c>
      <c r="BF275" t="b">
        <v>1</v>
      </c>
      <c r="BG275" t="b">
        <v>0</v>
      </c>
      <c r="BH275" t="b">
        <v>0</v>
      </c>
      <c r="BI275" s="76" t="str">
        <f>HYPERLINK("https://pbs.twimg.com/profile_banners/213587204/1691666080")</f>
        <v>https://pbs.twimg.com/profile_banners/213587204/1691666080</v>
      </c>
      <c r="BK275" t="s">
        <v>2343</v>
      </c>
      <c r="BL275" t="b">
        <v>0</v>
      </c>
      <c r="BN275" t="s">
        <v>65</v>
      </c>
      <c r="BO275" t="s">
        <v>2345</v>
      </c>
      <c r="BP275" s="76" t="str">
        <f>HYPERLINK("https://twitter.com/timurandproud")</f>
        <v>https://twitter.com/timurandproud</v>
      </c>
      <c r="BQ275" s="44"/>
      <c r="BR275" s="44"/>
      <c r="BS275" s="44"/>
      <c r="BT275" s="44"/>
      <c r="BU275" s="44"/>
      <c r="BV275" s="44"/>
      <c r="BW275" s="44"/>
      <c r="BX275" s="44"/>
      <c r="BY275" s="44"/>
      <c r="BZ275" s="44"/>
      <c r="CA275" s="44"/>
      <c r="CB275" s="45"/>
      <c r="CC275" s="44"/>
      <c r="CD275" s="45"/>
      <c r="CE275" s="44"/>
      <c r="CF275" s="45"/>
      <c r="CG275" s="44"/>
      <c r="CH275" s="45"/>
      <c r="CI275" s="44"/>
      <c r="CJ275" s="112" t="e">
        <f>REPLACE(INDEX(GroupVertices[Group],MATCH("~"&amp;Vertices[[#This Row],[Vertex]],GroupVertices[Vertex],0)),1,1,"")</f>
        <v>#N/A</v>
      </c>
      <c r="CK275" s="44"/>
      <c r="CL275" s="44"/>
      <c r="CM275" s="44"/>
      <c r="CN275" s="44"/>
      <c r="CO275" s="2"/>
    </row>
    <row r="276" spans="1:93" ht="41.45" customHeight="1">
      <c r="A276" s="59" t="s">
        <v>1491</v>
      </c>
      <c r="C276" s="60"/>
      <c r="D276" s="60" t="s">
        <v>64</v>
      </c>
      <c r="E276" s="61"/>
      <c r="F276" s="63"/>
      <c r="G276" s="92" t="str">
        <f>HYPERLINK("https://pbs.twimg.com/profile_images/1404728977642725376/MPMl1zKO_normal.jpg")</f>
        <v>https://pbs.twimg.com/profile_images/1404728977642725376/MPMl1zKO_normal.jpg</v>
      </c>
      <c r="H276" s="60"/>
      <c r="I276" s="64" t="str">
        <f>Vertices[[#This Row],[Vertex]]</f>
        <v>misstince</v>
      </c>
      <c r="J276" s="65"/>
      <c r="K276" s="65"/>
      <c r="L276" s="64"/>
      <c r="M276" s="68"/>
      <c r="N276" s="69"/>
      <c r="O276" s="69"/>
      <c r="P276" s="70"/>
      <c r="Q276" s="71"/>
      <c r="R276" s="71"/>
      <c r="S276" s="78"/>
      <c r="T276" s="44"/>
      <c r="U276" s="44"/>
      <c r="V276" s="45"/>
      <c r="W276" s="45"/>
      <c r="X276" s="45"/>
      <c r="Y276" s="45"/>
      <c r="Z276" s="45"/>
      <c r="AA276" s="45"/>
      <c r="AB276" s="66">
        <v>276</v>
      </c>
      <c r="AC2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6" s="67"/>
      <c r="AE276" t="s">
        <v>1796</v>
      </c>
      <c r="AF276" s="74" t="s">
        <v>1932</v>
      </c>
      <c r="AG276">
        <v>213</v>
      </c>
      <c r="AH276">
        <v>578</v>
      </c>
      <c r="AI276">
        <v>2714</v>
      </c>
      <c r="AJ276">
        <v>0</v>
      </c>
      <c r="AK276">
        <v>2671</v>
      </c>
      <c r="AL276">
        <v>340</v>
      </c>
      <c r="AM276" t="b">
        <v>0</v>
      </c>
      <c r="AN276" s="73">
        <v>43453.14252314815</v>
      </c>
      <c r="AP276" t="s">
        <v>2255</v>
      </c>
      <c r="AY276" t="b">
        <v>0</v>
      </c>
      <c r="BB276" t="b">
        <v>0</v>
      </c>
      <c r="BC276" t="b">
        <v>1</v>
      </c>
      <c r="BD276" t="b">
        <v>0</v>
      </c>
      <c r="BE276" t="b">
        <v>0</v>
      </c>
      <c r="BF276" t="b">
        <v>1</v>
      </c>
      <c r="BG276" t="b">
        <v>0</v>
      </c>
      <c r="BH276" t="b">
        <v>0</v>
      </c>
      <c r="BI276" s="76" t="str">
        <f>HYPERLINK("https://pbs.twimg.com/profile_banners/1075230547457134592/1605922108")</f>
        <v>https://pbs.twimg.com/profile_banners/1075230547457134592/1605922108</v>
      </c>
      <c r="BK276" t="s">
        <v>2343</v>
      </c>
      <c r="BL276" t="b">
        <v>0</v>
      </c>
      <c r="BN276" t="s">
        <v>66</v>
      </c>
      <c r="BO276" t="s">
        <v>2345</v>
      </c>
      <c r="BP276" s="76" t="str">
        <f>HYPERLINK("https://twitter.com/misstince")</f>
        <v>https://twitter.com/misstince</v>
      </c>
      <c r="BQ276" s="44"/>
      <c r="BR276" s="44"/>
      <c r="BS276" s="44"/>
      <c r="BT276" s="44"/>
      <c r="BU276" s="44"/>
      <c r="BV276" s="44"/>
      <c r="BW276" s="44"/>
      <c r="BX276" s="44"/>
      <c r="BY276" s="44"/>
      <c r="BZ276" s="44"/>
      <c r="CA276" s="44"/>
      <c r="CB276" s="45"/>
      <c r="CC276" s="44"/>
      <c r="CD276" s="45"/>
      <c r="CE276" s="44"/>
      <c r="CF276" s="45"/>
      <c r="CG276" s="44"/>
      <c r="CH276" s="45"/>
      <c r="CI276" s="44"/>
      <c r="CJ276" s="112" t="e">
        <f>REPLACE(INDEX(GroupVertices[Group],MATCH("~"&amp;Vertices[[#This Row],[Vertex]],GroupVertices[Vertex],0)),1,1,"")</f>
        <v>#N/A</v>
      </c>
      <c r="CK276" s="44"/>
      <c r="CL276" s="44"/>
      <c r="CM276" s="44"/>
      <c r="CN276" s="44"/>
      <c r="CO276" s="2"/>
    </row>
    <row r="277" spans="1:93" ht="41.45" customHeight="1">
      <c r="A277" s="59" t="s">
        <v>1495</v>
      </c>
      <c r="C277" s="60"/>
      <c r="D277" s="60" t="s">
        <v>64</v>
      </c>
      <c r="E277" s="61"/>
      <c r="F277" s="63"/>
      <c r="G277" s="92" t="str">
        <f>HYPERLINK("https://pbs.twimg.com/profile_images/1227607337600372737/xj6NN8cZ_normal.jpg")</f>
        <v>https://pbs.twimg.com/profile_images/1227607337600372737/xj6NN8cZ_normal.jpg</v>
      </c>
      <c r="H277" s="60"/>
      <c r="I277" s="64" t="str">
        <f>Vertices[[#This Row],[Vertex]]</f>
        <v>ncahyo80</v>
      </c>
      <c r="J277" s="65"/>
      <c r="K277" s="65"/>
      <c r="L277" s="64"/>
      <c r="M277" s="68"/>
      <c r="N277" s="69"/>
      <c r="O277" s="69"/>
      <c r="P277" s="70"/>
      <c r="Q277" s="71"/>
      <c r="R277" s="71"/>
      <c r="S277" s="78"/>
      <c r="T277" s="44"/>
      <c r="U277" s="44"/>
      <c r="V277" s="45"/>
      <c r="W277" s="45"/>
      <c r="X277" s="45"/>
      <c r="Y277" s="45"/>
      <c r="Z277" s="45"/>
      <c r="AA277" s="45"/>
      <c r="AB277" s="66">
        <v>277</v>
      </c>
      <c r="AC2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7" s="67"/>
      <c r="AE277" t="s">
        <v>1783</v>
      </c>
      <c r="AF277" s="74" t="s">
        <v>1919</v>
      </c>
      <c r="AG277">
        <v>142</v>
      </c>
      <c r="AH277">
        <v>664</v>
      </c>
      <c r="AI277">
        <v>4131</v>
      </c>
      <c r="AJ277">
        <v>2</v>
      </c>
      <c r="AK277">
        <v>12269</v>
      </c>
      <c r="AL277">
        <v>2</v>
      </c>
      <c r="AM277" t="b">
        <v>0</v>
      </c>
      <c r="AN277" s="73">
        <v>42239.61164351852</v>
      </c>
      <c r="AO277" t="s">
        <v>996</v>
      </c>
      <c r="AY277" t="b">
        <v>0</v>
      </c>
      <c r="BB277" t="b">
        <v>0</v>
      </c>
      <c r="BC277" t="b">
        <v>1</v>
      </c>
      <c r="BD277" t="b">
        <v>1</v>
      </c>
      <c r="BE277" t="b">
        <v>0</v>
      </c>
      <c r="BF277" t="b">
        <v>1</v>
      </c>
      <c r="BG277" t="b">
        <v>0</v>
      </c>
      <c r="BH277" t="b">
        <v>0</v>
      </c>
      <c r="BK277" t="s">
        <v>2343</v>
      </c>
      <c r="BL277" t="b">
        <v>0</v>
      </c>
      <c r="BN277" t="s">
        <v>66</v>
      </c>
      <c r="BO277" t="s">
        <v>2345</v>
      </c>
      <c r="BP277" s="76" t="str">
        <f>HYPERLINK("https://twitter.com/ncahyo80")</f>
        <v>https://twitter.com/ncahyo80</v>
      </c>
      <c r="BQ277" s="44"/>
      <c r="BR277" s="44"/>
      <c r="BS277" s="44"/>
      <c r="BT277" s="44"/>
      <c r="BU277" s="44"/>
      <c r="BV277" s="44"/>
      <c r="BW277" s="44"/>
      <c r="BX277" s="44"/>
      <c r="BY277" s="44"/>
      <c r="BZ277" s="44"/>
      <c r="CA277" s="44"/>
      <c r="CB277" s="45"/>
      <c r="CC277" s="44"/>
      <c r="CD277" s="45"/>
      <c r="CE277" s="44"/>
      <c r="CF277" s="45"/>
      <c r="CG277" s="44"/>
      <c r="CH277" s="45"/>
      <c r="CI277" s="44"/>
      <c r="CJ277" s="112" t="e">
        <f>REPLACE(INDEX(GroupVertices[Group],MATCH("~"&amp;Vertices[[#This Row],[Vertex]],GroupVertices[Vertex],0)),1,1,"")</f>
        <v>#N/A</v>
      </c>
      <c r="CK277" s="44"/>
      <c r="CL277" s="44"/>
      <c r="CM277" s="44"/>
      <c r="CN277" s="44"/>
      <c r="CO277" s="2"/>
    </row>
    <row r="278" spans="1:93" ht="41.45" customHeight="1">
      <c r="A278" s="59" t="s">
        <v>1490</v>
      </c>
      <c r="C278" s="60"/>
      <c r="D278" s="60" t="s">
        <v>64</v>
      </c>
      <c r="E278" s="61"/>
      <c r="F278" s="63"/>
      <c r="G278" s="92" t="str">
        <f>HYPERLINK("https://pbs.twimg.com/profile_images/1473998813736046595/Aqy209js_normal.jpg")</f>
        <v>https://pbs.twimg.com/profile_images/1473998813736046595/Aqy209js_normal.jpg</v>
      </c>
      <c r="H278" s="60"/>
      <c r="I278" s="64" t="str">
        <f>Vertices[[#This Row],[Vertex]]</f>
        <v>durianruntuah</v>
      </c>
      <c r="J278" s="65"/>
      <c r="K278" s="65"/>
      <c r="L278" s="64"/>
      <c r="M278" s="68"/>
      <c r="N278" s="69"/>
      <c r="O278" s="69"/>
      <c r="P278" s="70"/>
      <c r="Q278" s="71"/>
      <c r="R278" s="71"/>
      <c r="S278" s="78"/>
      <c r="T278" s="44"/>
      <c r="U278" s="44"/>
      <c r="V278" s="45"/>
      <c r="W278" s="45"/>
      <c r="X278" s="45"/>
      <c r="Y278" s="45"/>
      <c r="Z278" s="45"/>
      <c r="AA278" s="45"/>
      <c r="AB278" s="66">
        <v>278</v>
      </c>
      <c r="AC2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8" s="67"/>
      <c r="AE278" t="s">
        <v>1795</v>
      </c>
      <c r="AF278" s="74" t="s">
        <v>1931</v>
      </c>
      <c r="AG278">
        <v>56</v>
      </c>
      <c r="AH278">
        <v>499</v>
      </c>
      <c r="AI278">
        <v>1888</v>
      </c>
      <c r="AJ278">
        <v>0</v>
      </c>
      <c r="AK278">
        <v>266</v>
      </c>
      <c r="AL278">
        <v>44</v>
      </c>
      <c r="AM278" t="b">
        <v>0</v>
      </c>
      <c r="AN278" s="73">
        <v>43564.545277777775</v>
      </c>
      <c r="AO278" t="s">
        <v>996</v>
      </c>
      <c r="AP278" t="s">
        <v>2254</v>
      </c>
      <c r="AQ278" s="76" t="str">
        <f>HYPERLINK("https://t.co/fcG4SfPy6w")</f>
        <v>https://t.co/fcG4SfPy6w</v>
      </c>
      <c r="AR278" s="76" t="str">
        <f>HYPERLINK("https://youtu.be/eQWtCen0pyQ")</f>
        <v>https://youtu.be/eQWtCen0pyQ</v>
      </c>
      <c r="AS278" t="s">
        <v>2324</v>
      </c>
      <c r="AW278">
        <v>1.29130970843165E+18</v>
      </c>
      <c r="AX278" s="76" t="str">
        <f>HYPERLINK("https://t.co/fcG4SfPy6w")</f>
        <v>https://t.co/fcG4SfPy6w</v>
      </c>
      <c r="AY278" t="b">
        <v>0</v>
      </c>
      <c r="BB278" t="b">
        <v>0</v>
      </c>
      <c r="BC278" t="b">
        <v>1</v>
      </c>
      <c r="BD278" t="b">
        <v>1</v>
      </c>
      <c r="BE278" t="b">
        <v>0</v>
      </c>
      <c r="BF278" t="b">
        <v>0</v>
      </c>
      <c r="BG278" t="b">
        <v>0</v>
      </c>
      <c r="BH278" t="b">
        <v>0</v>
      </c>
      <c r="BI278" s="76" t="str">
        <f>HYPERLINK("https://pbs.twimg.com/profile_banners/1115601555179180032/1640400792")</f>
        <v>https://pbs.twimg.com/profile_banners/1115601555179180032/1640400792</v>
      </c>
      <c r="BK278" t="s">
        <v>2343</v>
      </c>
      <c r="BL278" t="b">
        <v>0</v>
      </c>
      <c r="BN278" t="s">
        <v>66</v>
      </c>
      <c r="BO278" t="s">
        <v>2345</v>
      </c>
      <c r="BP278" s="76" t="str">
        <f>HYPERLINK("https://twitter.com/durianruntuah")</f>
        <v>https://twitter.com/durianruntuah</v>
      </c>
      <c r="BQ278" s="44"/>
      <c r="BR278" s="44"/>
      <c r="BS278" s="44"/>
      <c r="BT278" s="44"/>
      <c r="BU278" s="44"/>
      <c r="BV278" s="44"/>
      <c r="BW278" s="44"/>
      <c r="BX278" s="44"/>
      <c r="BY278" s="44"/>
      <c r="BZ278" s="44"/>
      <c r="CA278" s="44"/>
      <c r="CB278" s="45"/>
      <c r="CC278" s="44"/>
      <c r="CD278" s="45"/>
      <c r="CE278" s="44"/>
      <c r="CF278" s="45"/>
      <c r="CG278" s="44"/>
      <c r="CH278" s="45"/>
      <c r="CI278" s="44"/>
      <c r="CJ278" s="112" t="e">
        <f>REPLACE(INDEX(GroupVertices[Group],MATCH("~"&amp;Vertices[[#This Row],[Vertex]],GroupVertices[Vertex],0)),1,1,"")</f>
        <v>#N/A</v>
      </c>
      <c r="CK278" s="44"/>
      <c r="CL278" s="44"/>
      <c r="CM278" s="44"/>
      <c r="CN278" s="44"/>
      <c r="CO278" s="2"/>
    </row>
    <row r="279" spans="1:93" ht="41.45" customHeight="1">
      <c r="A279" s="59" t="s">
        <v>1482</v>
      </c>
      <c r="C279" s="80"/>
      <c r="D279" s="60" t="s">
        <v>64</v>
      </c>
      <c r="E279" s="81"/>
      <c r="F279" s="82"/>
      <c r="G279" s="93" t="str">
        <f>HYPERLINK("https://abs.twimg.com/sticky/default_profile_images/default_profile_normal.png")</f>
        <v>https://abs.twimg.com/sticky/default_profile_images/default_profile_normal.png</v>
      </c>
      <c r="H279" s="80"/>
      <c r="I279" s="64" t="str">
        <f>Vertices[[#This Row],[Vertex]]</f>
        <v>chunardh</v>
      </c>
      <c r="J279" s="84"/>
      <c r="K279" s="84"/>
      <c r="L279" s="83"/>
      <c r="M279" s="85"/>
      <c r="N279" s="86"/>
      <c r="O279" s="86"/>
      <c r="P279" s="87"/>
      <c r="Q279" s="88"/>
      <c r="R279" s="88"/>
      <c r="S279" s="89"/>
      <c r="T279" s="44"/>
      <c r="U279" s="44"/>
      <c r="V279" s="45"/>
      <c r="W279" s="45"/>
      <c r="X279" s="45"/>
      <c r="Y279" s="45"/>
      <c r="Z279" s="45"/>
      <c r="AA279" s="45"/>
      <c r="AB279" s="90">
        <v>279</v>
      </c>
      <c r="AC279"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9" s="67"/>
      <c r="AE279" t="s">
        <v>1787</v>
      </c>
      <c r="AF279" s="74" t="s">
        <v>1923</v>
      </c>
      <c r="AG279">
        <v>2</v>
      </c>
      <c r="AH279">
        <v>21</v>
      </c>
      <c r="AI279">
        <v>100</v>
      </c>
      <c r="AJ279">
        <v>0</v>
      </c>
      <c r="AK279">
        <v>43</v>
      </c>
      <c r="AL279">
        <v>4</v>
      </c>
      <c r="AM279" t="b">
        <v>0</v>
      </c>
      <c r="AN279" s="73">
        <v>44530.273993055554</v>
      </c>
      <c r="AP279" t="s">
        <v>2247</v>
      </c>
      <c r="AY279" t="b">
        <v>0</v>
      </c>
      <c r="BB279" t="b">
        <v>0</v>
      </c>
      <c r="BC279" t="b">
        <v>1</v>
      </c>
      <c r="BD279" t="b">
        <v>1</v>
      </c>
      <c r="BE279" t="b">
        <v>1</v>
      </c>
      <c r="BF279" t="b">
        <v>0</v>
      </c>
      <c r="BG279" t="b">
        <v>0</v>
      </c>
      <c r="BH279" t="b">
        <v>0</v>
      </c>
      <c r="BK279" t="s">
        <v>2343</v>
      </c>
      <c r="BL279" t="b">
        <v>0</v>
      </c>
      <c r="BN279" t="s">
        <v>66</v>
      </c>
      <c r="BO279" t="s">
        <v>2345</v>
      </c>
      <c r="BP279" s="76" t="str">
        <f>HYPERLINK("https://twitter.com/chunardh")</f>
        <v>https://twitter.com/chunardh</v>
      </c>
      <c r="BQ279" s="44"/>
      <c r="BR279" s="44"/>
      <c r="BS279" s="44"/>
      <c r="BT279" s="44"/>
      <c r="BU279" s="44"/>
      <c r="BV279" s="44"/>
      <c r="BW279" s="44"/>
      <c r="BX279" s="44"/>
      <c r="BY279" s="44"/>
      <c r="BZ279" s="44"/>
      <c r="CA279" s="44"/>
      <c r="CB279" s="45"/>
      <c r="CC279" s="44"/>
      <c r="CD279" s="45"/>
      <c r="CE279" s="44"/>
      <c r="CF279" s="45"/>
      <c r="CG279" s="44"/>
      <c r="CH279" s="45"/>
      <c r="CI279" s="44"/>
      <c r="CJ279" s="112" t="e">
        <f>REPLACE(INDEX(GroupVertices[Group],MATCH("~"&amp;Vertices[[#This Row],[Vertex]],GroupVertices[Vertex],0)),1,1,"")</f>
        <v>#N/A</v>
      </c>
      <c r="CK279" s="44"/>
      <c r="CL279" s="44"/>
      <c r="CM279" s="44"/>
      <c r="CN279" s="44"/>
      <c r="CO279" s="2"/>
    </row>
  </sheetData>
  <dataValidations count="20">
    <dataValidation allowBlank="1" errorTitle="Invalid Vertex Visibility" error="You have entered an unrecognized vertex visibility.  Try selecting from the drop-down list instead." sqref="CO3"/>
    <dataValidation allowBlank="1" showErrorMessage="1" sqref="C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9"/>
    <dataValidation allowBlank="1" showInputMessage="1" promptTitle="Vertex Tooltip" prompt="Enter optional text that will pop up when the mouse is hovered over the vertex." errorTitle="Invalid Vertex Image Key" sqref="L3:L2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9"/>
    <dataValidation allowBlank="1" showInputMessage="1" promptTitle="Vertex Label Fill Color" prompt="To select an optional fill color for the Label shape, right-click and select Select Color on the right-click menu." sqref="J3:J279"/>
    <dataValidation allowBlank="1" showInputMessage="1" promptTitle="Vertex Image File" prompt="Enter the path to an image file.  Hover over the column header for examples." errorTitle="Invalid Vertex Image Key" sqref="G3:G279"/>
    <dataValidation allowBlank="1" showInputMessage="1" promptTitle="Vertex Color" prompt="To select an optional vertex color, right-click and select Select Color on the right-click menu." sqref="C3:C279"/>
    <dataValidation allowBlank="1" showInputMessage="1" promptTitle="Vertex Opacity" prompt="Enter an optional vertex opacity between 0 (transparent) and 100 (opaque)." errorTitle="Invalid Vertex Opacity" error="The optional vertex opacity must be a whole number between 0 and 10." sqref="F3:F279"/>
    <dataValidation type="list" allowBlank="1" showInputMessage="1" showErrorMessage="1" promptTitle="Vertex Shape" prompt="Select an optional vertex shape." errorTitle="Invalid Vertex Shape" error="You have entered an invalid vertex shape.  Try selecting from the drop-down list instead." sqref="D3:D2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9">
      <formula1>ValidVertexLabelPositions</formula1>
    </dataValidation>
    <dataValidation allowBlank="1" showInputMessage="1" showErrorMessage="1" promptTitle="Vertex Name" prompt="Enter the name of the vertex." sqref="A3:A2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19.140625" style="0" hidden="1" customWidth="1"/>
    <col min="34" max="34" width="23.8515625" style="0" hidden="1" customWidth="1"/>
    <col min="35" max="35" width="19.140625" style="0" hidden="1" customWidth="1"/>
    <col min="36" max="36" width="23.8515625" style="0" hidden="1" customWidth="1"/>
    <col min="37" max="37" width="19.140625" style="0" hidden="1" customWidth="1"/>
    <col min="38" max="38" width="23.8515625" style="0" hidden="1" customWidth="1"/>
    <col min="39" max="39" width="18.140625" style="0" hidden="1" customWidth="1"/>
    <col min="40" max="40" width="22.28125" style="0" hidden="1" customWidth="1"/>
    <col min="41" max="41" width="16.421875" style="0" hidden="1" customWidth="1"/>
  </cols>
  <sheetData>
    <row r="1" spans="2:24" ht="15">
      <c r="B1" s="49" t="s">
        <v>39</v>
      </c>
      <c r="C1" s="50"/>
      <c r="D1" s="50"/>
      <c r="E1" s="51"/>
      <c r="F1" s="48" t="s">
        <v>43</v>
      </c>
      <c r="G1" s="52" t="s">
        <v>44</v>
      </c>
      <c r="H1" s="53"/>
      <c r="I1" s="54" t="s">
        <v>40</v>
      </c>
      <c r="J1" s="55"/>
      <c r="K1" s="56" t="s">
        <v>42</v>
      </c>
      <c r="L1" s="57"/>
      <c r="M1" s="57"/>
      <c r="N1" s="57"/>
      <c r="O1" s="57"/>
      <c r="P1" s="57"/>
      <c r="Q1" s="57"/>
      <c r="R1" s="57"/>
      <c r="S1" s="57"/>
      <c r="T1" s="57"/>
      <c r="U1" s="57"/>
      <c r="V1" s="57"/>
      <c r="W1" s="57"/>
      <c r="X1" s="57"/>
    </row>
    <row r="2" spans="1:41" s="7" customFormat="1" ht="30" customHeight="1">
      <c r="A2" s="10" t="s">
        <v>143</v>
      </c>
      <c r="B2" s="7" t="s">
        <v>21</v>
      </c>
      <c r="C2" s="7" t="s">
        <v>20</v>
      </c>
      <c r="D2" s="7" t="s">
        <v>11</v>
      </c>
      <c r="E2" s="7" t="s">
        <v>144</v>
      </c>
      <c r="F2" s="7" t="s">
        <v>46</v>
      </c>
      <c r="G2" s="7" t="s">
        <v>166</v>
      </c>
      <c r="H2" s="7" t="s">
        <v>167</v>
      </c>
      <c r="I2" s="7" t="s">
        <v>12</v>
      </c>
      <c r="J2" s="7" t="s">
        <v>165</v>
      </c>
      <c r="K2" s="7" t="s">
        <v>145</v>
      </c>
      <c r="L2" s="7" t="s">
        <v>147</v>
      </c>
      <c r="M2" s="7" t="s">
        <v>148</v>
      </c>
      <c r="N2" s="7" t="s">
        <v>149</v>
      </c>
      <c r="O2" s="7" t="s">
        <v>150</v>
      </c>
      <c r="P2" s="7" t="s">
        <v>169</v>
      </c>
      <c r="Q2" s="7" t="s">
        <v>170</v>
      </c>
      <c r="R2" s="7" t="s">
        <v>151</v>
      </c>
      <c r="S2" s="7" t="s">
        <v>152</v>
      </c>
      <c r="T2" s="7" t="s">
        <v>153</v>
      </c>
      <c r="U2" s="7" t="s">
        <v>154</v>
      </c>
      <c r="V2" s="7" t="s">
        <v>155</v>
      </c>
      <c r="W2" s="7" t="s">
        <v>156</v>
      </c>
      <c r="X2" s="7" t="s">
        <v>157</v>
      </c>
      <c r="Y2" s="7" t="s">
        <v>2359</v>
      </c>
      <c r="Z2" s="7" t="s">
        <v>2361</v>
      </c>
      <c r="AA2" s="7" t="s">
        <v>2371</v>
      </c>
      <c r="AB2" s="7" t="s">
        <v>2382</v>
      </c>
      <c r="AC2" s="7" t="s">
        <v>2394</v>
      </c>
      <c r="AD2" s="7" t="s">
        <v>2398</v>
      </c>
      <c r="AE2" s="7" t="s">
        <v>2399</v>
      </c>
      <c r="AF2" s="7" t="s">
        <v>2401</v>
      </c>
      <c r="AG2" s="97" t="s">
        <v>3046</v>
      </c>
      <c r="AH2" s="97" t="s">
        <v>3047</v>
      </c>
      <c r="AI2" s="97" t="s">
        <v>3048</v>
      </c>
      <c r="AJ2" s="97" t="s">
        <v>3049</v>
      </c>
      <c r="AK2" s="97" t="s">
        <v>3050</v>
      </c>
      <c r="AL2" s="97" t="s">
        <v>3051</v>
      </c>
      <c r="AM2" s="97" t="s">
        <v>3052</v>
      </c>
      <c r="AN2" s="97" t="s">
        <v>3053</v>
      </c>
      <c r="AO2" s="97" t="s">
        <v>3056</v>
      </c>
    </row>
    <row r="3" spans="1:41" ht="15">
      <c r="A3" s="59" t="s">
        <v>3178</v>
      </c>
      <c r="B3" s="60" t="s">
        <v>3215</v>
      </c>
      <c r="C3" s="60" t="s">
        <v>56</v>
      </c>
      <c r="D3" s="103"/>
      <c r="E3" s="11"/>
      <c r="F3" s="12"/>
      <c r="G3" s="58"/>
      <c r="H3" s="58"/>
      <c r="I3" s="104">
        <v>3</v>
      </c>
      <c r="J3" s="46"/>
      <c r="K3" s="44">
        <v>37</v>
      </c>
      <c r="L3" s="44">
        <v>36</v>
      </c>
      <c r="M3" s="44">
        <v>0</v>
      </c>
      <c r="N3" s="44">
        <v>36</v>
      </c>
      <c r="O3" s="44">
        <v>0</v>
      </c>
      <c r="P3" s="45">
        <v>0</v>
      </c>
      <c r="Q3" s="45">
        <v>0</v>
      </c>
      <c r="R3" s="44">
        <v>1</v>
      </c>
      <c r="S3" s="44">
        <v>0</v>
      </c>
      <c r="T3" s="44">
        <v>37</v>
      </c>
      <c r="U3" s="44">
        <v>36</v>
      </c>
      <c r="V3" s="44">
        <v>2</v>
      </c>
      <c r="W3" s="45">
        <v>1.893353</v>
      </c>
      <c r="X3" s="45">
        <v>0.02702702702702703</v>
      </c>
      <c r="Y3" s="112"/>
      <c r="Z3" s="112"/>
      <c r="AA3" s="112" t="s">
        <v>11343</v>
      </c>
      <c r="AB3" s="116" t="s">
        <v>3286</v>
      </c>
      <c r="AC3" s="116" t="s">
        <v>3329</v>
      </c>
      <c r="AD3" s="112" t="s">
        <v>3356</v>
      </c>
      <c r="AE3" s="112" t="s">
        <v>3365</v>
      </c>
      <c r="AF3" s="112" t="s">
        <v>3369</v>
      </c>
      <c r="AG3" s="44">
        <v>7</v>
      </c>
      <c r="AH3" s="45">
        <v>8.536585365853659</v>
      </c>
      <c r="AI3" s="44">
        <v>1</v>
      </c>
      <c r="AJ3" s="45">
        <v>1.2195121951219512</v>
      </c>
      <c r="AK3" s="44">
        <v>0</v>
      </c>
      <c r="AL3" s="45">
        <v>0</v>
      </c>
      <c r="AM3" s="44">
        <v>74</v>
      </c>
      <c r="AN3" s="45">
        <v>90.2439024390244</v>
      </c>
      <c r="AO3" s="44">
        <v>82</v>
      </c>
    </row>
    <row r="4" spans="1:41" ht="15">
      <c r="A4" s="105" t="s">
        <v>3179</v>
      </c>
      <c r="B4" s="60" t="s">
        <v>3216</v>
      </c>
      <c r="C4" s="60" t="s">
        <v>56</v>
      </c>
      <c r="D4" s="128"/>
      <c r="E4" s="11"/>
      <c r="F4" s="12"/>
      <c r="G4" s="58"/>
      <c r="H4" s="58"/>
      <c r="I4" s="111">
        <v>4</v>
      </c>
      <c r="J4" s="119"/>
      <c r="K4" s="44">
        <v>19</v>
      </c>
      <c r="L4" s="44">
        <v>18</v>
      </c>
      <c r="M4" s="44">
        <v>0</v>
      </c>
      <c r="N4" s="44">
        <v>18</v>
      </c>
      <c r="O4" s="44">
        <v>0</v>
      </c>
      <c r="P4" s="45">
        <v>0</v>
      </c>
      <c r="Q4" s="45">
        <v>0</v>
      </c>
      <c r="R4" s="44">
        <v>1</v>
      </c>
      <c r="S4" s="44">
        <v>0</v>
      </c>
      <c r="T4" s="44">
        <v>19</v>
      </c>
      <c r="U4" s="44">
        <v>18</v>
      </c>
      <c r="V4" s="44">
        <v>2</v>
      </c>
      <c r="W4" s="45">
        <v>1.795014</v>
      </c>
      <c r="X4" s="45">
        <v>0.05263157894736842</v>
      </c>
      <c r="Y4" s="112"/>
      <c r="Z4" s="113"/>
      <c r="AA4" s="112" t="s">
        <v>682</v>
      </c>
      <c r="AB4" s="116" t="s">
        <v>11380</v>
      </c>
      <c r="AC4" s="116" t="s">
        <v>11401</v>
      </c>
      <c r="AD4" s="112" t="s">
        <v>3417</v>
      </c>
      <c r="AE4" s="112" t="s">
        <v>11357</v>
      </c>
      <c r="AF4" s="112" t="s">
        <v>11363</v>
      </c>
      <c r="AG4" s="44">
        <v>41</v>
      </c>
      <c r="AH4" s="45">
        <v>21.925133689839573</v>
      </c>
      <c r="AI4" s="44">
        <v>3</v>
      </c>
      <c r="AJ4" s="45">
        <v>1.6042780748663101</v>
      </c>
      <c r="AK4" s="44">
        <v>0</v>
      </c>
      <c r="AL4" s="45">
        <v>0</v>
      </c>
      <c r="AM4" s="44">
        <v>143</v>
      </c>
      <c r="AN4" s="45">
        <v>76.47058823529412</v>
      </c>
      <c r="AO4" s="44">
        <v>187</v>
      </c>
    </row>
    <row r="5" spans="1:41" ht="15">
      <c r="A5" s="105" t="s">
        <v>3180</v>
      </c>
      <c r="B5" s="60" t="s">
        <v>3217</v>
      </c>
      <c r="C5" s="60" t="s">
        <v>56</v>
      </c>
      <c r="D5" s="128"/>
      <c r="E5" s="11"/>
      <c r="F5" s="12"/>
      <c r="G5" s="58"/>
      <c r="H5" s="58"/>
      <c r="I5" s="111">
        <v>5</v>
      </c>
      <c r="J5" s="119"/>
      <c r="K5" s="44">
        <v>18</v>
      </c>
      <c r="L5" s="44">
        <v>18</v>
      </c>
      <c r="M5" s="44">
        <v>0</v>
      </c>
      <c r="N5" s="44">
        <v>18</v>
      </c>
      <c r="O5" s="44">
        <v>18</v>
      </c>
      <c r="P5" s="45" t="s">
        <v>2604</v>
      </c>
      <c r="Q5" s="45" t="s">
        <v>2604</v>
      </c>
      <c r="R5" s="44">
        <v>18</v>
      </c>
      <c r="S5" s="44">
        <v>18</v>
      </c>
      <c r="T5" s="44">
        <v>1</v>
      </c>
      <c r="U5" s="44">
        <v>1</v>
      </c>
      <c r="V5" s="44">
        <v>0</v>
      </c>
      <c r="W5" s="45">
        <v>0</v>
      </c>
      <c r="X5" s="45">
        <v>0</v>
      </c>
      <c r="Y5" s="112" t="s">
        <v>3404</v>
      </c>
      <c r="Z5" s="113"/>
      <c r="AA5" s="112" t="s">
        <v>11344</v>
      </c>
      <c r="AB5" s="116" t="s">
        <v>3406</v>
      </c>
      <c r="AC5" s="116" t="s">
        <v>11402</v>
      </c>
      <c r="AD5" s="112" t="s">
        <v>741</v>
      </c>
      <c r="AE5" s="112"/>
      <c r="AF5" s="112" t="s">
        <v>3503</v>
      </c>
      <c r="AG5" s="44">
        <v>45</v>
      </c>
      <c r="AH5" s="45">
        <v>17.17557251908397</v>
      </c>
      <c r="AI5" s="44">
        <v>5</v>
      </c>
      <c r="AJ5" s="45">
        <v>1.9083969465648856</v>
      </c>
      <c r="AK5" s="44">
        <v>0</v>
      </c>
      <c r="AL5" s="45">
        <v>0</v>
      </c>
      <c r="AM5" s="44">
        <v>212</v>
      </c>
      <c r="AN5" s="45">
        <v>80.91603053435115</v>
      </c>
      <c r="AO5" s="44">
        <v>262</v>
      </c>
    </row>
    <row r="6" spans="1:41" ht="15">
      <c r="A6" s="105" t="s">
        <v>3181</v>
      </c>
      <c r="B6" s="60" t="s">
        <v>3218</v>
      </c>
      <c r="C6" s="60" t="s">
        <v>56</v>
      </c>
      <c r="D6" s="128"/>
      <c r="E6" s="11"/>
      <c r="F6" s="12"/>
      <c r="G6" s="58"/>
      <c r="H6" s="58"/>
      <c r="I6" s="111">
        <v>6</v>
      </c>
      <c r="J6" s="119"/>
      <c r="K6" s="44">
        <v>14</v>
      </c>
      <c r="L6" s="44">
        <v>15</v>
      </c>
      <c r="M6" s="44">
        <v>0</v>
      </c>
      <c r="N6" s="44">
        <v>15</v>
      </c>
      <c r="O6" s="44">
        <v>2</v>
      </c>
      <c r="P6" s="45">
        <v>0</v>
      </c>
      <c r="Q6" s="45">
        <v>0</v>
      </c>
      <c r="R6" s="44">
        <v>1</v>
      </c>
      <c r="S6" s="44">
        <v>0</v>
      </c>
      <c r="T6" s="44">
        <v>14</v>
      </c>
      <c r="U6" s="44">
        <v>15</v>
      </c>
      <c r="V6" s="44">
        <v>6</v>
      </c>
      <c r="W6" s="45">
        <v>2.918367</v>
      </c>
      <c r="X6" s="45">
        <v>0.07142857142857142</v>
      </c>
      <c r="Y6" s="112"/>
      <c r="Z6" s="113"/>
      <c r="AA6" s="112" t="s">
        <v>682</v>
      </c>
      <c r="AB6" s="116" t="s">
        <v>11381</v>
      </c>
      <c r="AC6" s="116" t="s">
        <v>11403</v>
      </c>
      <c r="AD6" s="112" t="s">
        <v>334</v>
      </c>
      <c r="AE6" s="112" t="s">
        <v>11358</v>
      </c>
      <c r="AF6" s="112" t="s">
        <v>11364</v>
      </c>
      <c r="AG6" s="44">
        <v>22</v>
      </c>
      <c r="AH6" s="45">
        <v>16.417910447761194</v>
      </c>
      <c r="AI6" s="44">
        <v>4</v>
      </c>
      <c r="AJ6" s="45">
        <v>2.985074626865672</v>
      </c>
      <c r="AK6" s="44">
        <v>0</v>
      </c>
      <c r="AL6" s="45">
        <v>0</v>
      </c>
      <c r="AM6" s="44">
        <v>107</v>
      </c>
      <c r="AN6" s="45">
        <v>79.85074626865672</v>
      </c>
      <c r="AO6" s="44">
        <v>134</v>
      </c>
    </row>
    <row r="7" spans="1:41" ht="15">
      <c r="A7" s="105" t="s">
        <v>3182</v>
      </c>
      <c r="B7" s="60" t="s">
        <v>3219</v>
      </c>
      <c r="C7" s="60" t="s">
        <v>56</v>
      </c>
      <c r="D7" s="128"/>
      <c r="E7" s="11"/>
      <c r="F7" s="12"/>
      <c r="G7" s="58"/>
      <c r="H7" s="58"/>
      <c r="I7" s="111">
        <v>7</v>
      </c>
      <c r="J7" s="119"/>
      <c r="K7" s="44">
        <v>12</v>
      </c>
      <c r="L7" s="44">
        <v>19</v>
      </c>
      <c r="M7" s="44">
        <v>0</v>
      </c>
      <c r="N7" s="44">
        <v>19</v>
      </c>
      <c r="O7" s="44">
        <v>7</v>
      </c>
      <c r="P7" s="45">
        <v>0</v>
      </c>
      <c r="Q7" s="45">
        <v>0</v>
      </c>
      <c r="R7" s="44">
        <v>1</v>
      </c>
      <c r="S7" s="44">
        <v>0</v>
      </c>
      <c r="T7" s="44">
        <v>12</v>
      </c>
      <c r="U7" s="44">
        <v>19</v>
      </c>
      <c r="V7" s="44">
        <v>3</v>
      </c>
      <c r="W7" s="45">
        <v>1.875</v>
      </c>
      <c r="X7" s="45">
        <v>0.09090909090909091</v>
      </c>
      <c r="Y7" s="112" t="s">
        <v>11338</v>
      </c>
      <c r="Z7" s="113"/>
      <c r="AA7" s="112" t="s">
        <v>11345</v>
      </c>
      <c r="AB7" s="116" t="s">
        <v>11382</v>
      </c>
      <c r="AC7" s="116" t="s">
        <v>11404</v>
      </c>
      <c r="AD7" s="112" t="s">
        <v>11351</v>
      </c>
      <c r="AE7" s="112" t="s">
        <v>3341</v>
      </c>
      <c r="AF7" s="112" t="s">
        <v>11365</v>
      </c>
      <c r="AG7" s="44">
        <v>63</v>
      </c>
      <c r="AH7" s="45">
        <v>15.07177033492823</v>
      </c>
      <c r="AI7" s="44">
        <v>15</v>
      </c>
      <c r="AJ7" s="45">
        <v>3.588516746411483</v>
      </c>
      <c r="AK7" s="44">
        <v>0</v>
      </c>
      <c r="AL7" s="45">
        <v>0</v>
      </c>
      <c r="AM7" s="44">
        <v>339</v>
      </c>
      <c r="AN7" s="45">
        <v>81.10047846889952</v>
      </c>
      <c r="AO7" s="44">
        <v>418</v>
      </c>
    </row>
    <row r="8" spans="1:41" ht="15">
      <c r="A8" s="105" t="s">
        <v>3183</v>
      </c>
      <c r="B8" s="60" t="s">
        <v>3220</v>
      </c>
      <c r="C8" s="60" t="s">
        <v>56</v>
      </c>
      <c r="D8" s="128"/>
      <c r="E8" s="11"/>
      <c r="F8" s="12"/>
      <c r="G8" s="58"/>
      <c r="H8" s="58"/>
      <c r="I8" s="111">
        <v>8</v>
      </c>
      <c r="J8" s="119"/>
      <c r="K8" s="44">
        <v>12</v>
      </c>
      <c r="L8" s="44">
        <v>14</v>
      </c>
      <c r="M8" s="44">
        <v>0</v>
      </c>
      <c r="N8" s="44">
        <v>14</v>
      </c>
      <c r="O8" s="44">
        <v>3</v>
      </c>
      <c r="P8" s="45">
        <v>0</v>
      </c>
      <c r="Q8" s="45">
        <v>0</v>
      </c>
      <c r="R8" s="44">
        <v>1</v>
      </c>
      <c r="S8" s="44">
        <v>0</v>
      </c>
      <c r="T8" s="44">
        <v>12</v>
      </c>
      <c r="U8" s="44">
        <v>14</v>
      </c>
      <c r="V8" s="44">
        <v>4</v>
      </c>
      <c r="W8" s="45">
        <v>2.277778</v>
      </c>
      <c r="X8" s="45">
        <v>0.08333333333333333</v>
      </c>
      <c r="Y8" s="112" t="s">
        <v>11339</v>
      </c>
      <c r="Z8" s="113"/>
      <c r="AA8" s="112" t="s">
        <v>11346</v>
      </c>
      <c r="AB8" s="116" t="s">
        <v>11383</v>
      </c>
      <c r="AC8" s="116" t="s">
        <v>11405</v>
      </c>
      <c r="AD8" s="112" t="s">
        <v>11352</v>
      </c>
      <c r="AE8" s="112" t="s">
        <v>11359</v>
      </c>
      <c r="AF8" s="112" t="s">
        <v>11366</v>
      </c>
      <c r="AG8" s="44">
        <v>48</v>
      </c>
      <c r="AH8" s="45">
        <v>20.253164556962027</v>
      </c>
      <c r="AI8" s="44">
        <v>3</v>
      </c>
      <c r="AJ8" s="45">
        <v>1.2658227848101267</v>
      </c>
      <c r="AK8" s="44">
        <v>0</v>
      </c>
      <c r="AL8" s="45">
        <v>0</v>
      </c>
      <c r="AM8" s="44">
        <v>185</v>
      </c>
      <c r="AN8" s="45">
        <v>78.05907172995781</v>
      </c>
      <c r="AO8" s="44">
        <v>237</v>
      </c>
    </row>
    <row r="9" spans="1:41" ht="15">
      <c r="A9" s="105" t="s">
        <v>3184</v>
      </c>
      <c r="B9" s="60" t="s">
        <v>3221</v>
      </c>
      <c r="C9" s="60" t="s">
        <v>56</v>
      </c>
      <c r="D9" s="128"/>
      <c r="E9" s="11"/>
      <c r="F9" s="12"/>
      <c r="G9" s="58"/>
      <c r="H9" s="58"/>
      <c r="I9" s="111">
        <v>9</v>
      </c>
      <c r="J9" s="119"/>
      <c r="K9" s="44">
        <v>11</v>
      </c>
      <c r="L9" s="44">
        <v>10</v>
      </c>
      <c r="M9" s="44">
        <v>0</v>
      </c>
      <c r="N9" s="44">
        <v>10</v>
      </c>
      <c r="O9" s="44">
        <v>0</v>
      </c>
      <c r="P9" s="45">
        <v>0</v>
      </c>
      <c r="Q9" s="45">
        <v>0</v>
      </c>
      <c r="R9" s="44">
        <v>1</v>
      </c>
      <c r="S9" s="44">
        <v>0</v>
      </c>
      <c r="T9" s="44">
        <v>11</v>
      </c>
      <c r="U9" s="44">
        <v>10</v>
      </c>
      <c r="V9" s="44">
        <v>2</v>
      </c>
      <c r="W9" s="45">
        <v>1.652893</v>
      </c>
      <c r="X9" s="45">
        <v>0.09090909090909091</v>
      </c>
      <c r="Y9" s="112"/>
      <c r="Z9" s="113"/>
      <c r="AA9" s="112"/>
      <c r="AB9" s="116" t="s">
        <v>3478</v>
      </c>
      <c r="AC9" s="116" t="s">
        <v>3502</v>
      </c>
      <c r="AD9" s="112" t="s">
        <v>3357</v>
      </c>
      <c r="AE9" s="112" t="s">
        <v>3418</v>
      </c>
      <c r="AF9" s="112" t="s">
        <v>3370</v>
      </c>
      <c r="AG9" s="44">
        <v>24</v>
      </c>
      <c r="AH9" s="45">
        <v>26.08695652173913</v>
      </c>
      <c r="AI9" s="44">
        <v>3</v>
      </c>
      <c r="AJ9" s="45">
        <v>3.260869565217391</v>
      </c>
      <c r="AK9" s="44">
        <v>0</v>
      </c>
      <c r="AL9" s="45">
        <v>0</v>
      </c>
      <c r="AM9" s="44">
        <v>65</v>
      </c>
      <c r="AN9" s="45">
        <v>70.65217391304348</v>
      </c>
      <c r="AO9" s="44">
        <v>92</v>
      </c>
    </row>
    <row r="10" spans="1:41" ht="14.25" customHeight="1">
      <c r="A10" s="105" t="s">
        <v>3185</v>
      </c>
      <c r="B10" s="60" t="s">
        <v>3222</v>
      </c>
      <c r="C10" s="60" t="s">
        <v>56</v>
      </c>
      <c r="D10" s="128"/>
      <c r="E10" s="11"/>
      <c r="F10" s="12"/>
      <c r="G10" s="58"/>
      <c r="H10" s="58"/>
      <c r="I10" s="111">
        <v>10</v>
      </c>
      <c r="J10" s="119"/>
      <c r="K10" s="44">
        <v>11</v>
      </c>
      <c r="L10" s="44">
        <v>11</v>
      </c>
      <c r="M10" s="44">
        <v>0</v>
      </c>
      <c r="N10" s="44">
        <v>11</v>
      </c>
      <c r="O10" s="44">
        <v>1</v>
      </c>
      <c r="P10" s="45">
        <v>0</v>
      </c>
      <c r="Q10" s="45">
        <v>0</v>
      </c>
      <c r="R10" s="44">
        <v>1</v>
      </c>
      <c r="S10" s="44">
        <v>0</v>
      </c>
      <c r="T10" s="44">
        <v>11</v>
      </c>
      <c r="U10" s="44">
        <v>11</v>
      </c>
      <c r="V10" s="44">
        <v>4</v>
      </c>
      <c r="W10" s="45">
        <v>2.31405</v>
      </c>
      <c r="X10" s="45">
        <v>0.09090909090909091</v>
      </c>
      <c r="Y10" s="112" t="s">
        <v>2405</v>
      </c>
      <c r="Z10" s="113"/>
      <c r="AA10" s="112" t="s">
        <v>681</v>
      </c>
      <c r="AB10" s="116" t="s">
        <v>11384</v>
      </c>
      <c r="AC10" s="116" t="s">
        <v>11406</v>
      </c>
      <c r="AD10" s="112" t="s">
        <v>11353</v>
      </c>
      <c r="AE10" s="112" t="s">
        <v>11360</v>
      </c>
      <c r="AF10" s="112" t="s">
        <v>11367</v>
      </c>
      <c r="AG10" s="44">
        <v>48</v>
      </c>
      <c r="AH10" s="45">
        <v>30</v>
      </c>
      <c r="AI10" s="44">
        <v>5</v>
      </c>
      <c r="AJ10" s="45">
        <v>3.125</v>
      </c>
      <c r="AK10" s="44">
        <v>0</v>
      </c>
      <c r="AL10" s="45">
        <v>0</v>
      </c>
      <c r="AM10" s="44">
        <v>107</v>
      </c>
      <c r="AN10" s="45">
        <v>66.875</v>
      </c>
      <c r="AO10" s="44">
        <v>160</v>
      </c>
    </row>
    <row r="11" spans="1:41" ht="15">
      <c r="A11" s="105" t="s">
        <v>3186</v>
      </c>
      <c r="B11" s="60" t="s">
        <v>3223</v>
      </c>
      <c r="C11" s="60" t="s">
        <v>56</v>
      </c>
      <c r="D11" s="128"/>
      <c r="E11" s="11"/>
      <c r="F11" s="12"/>
      <c r="G11" s="58"/>
      <c r="H11" s="58"/>
      <c r="I11" s="111">
        <v>11</v>
      </c>
      <c r="J11" s="119"/>
      <c r="K11" s="44">
        <v>10</v>
      </c>
      <c r="L11" s="44">
        <v>10</v>
      </c>
      <c r="M11" s="44">
        <v>0</v>
      </c>
      <c r="N11" s="44">
        <v>10</v>
      </c>
      <c r="O11" s="44">
        <v>1</v>
      </c>
      <c r="P11" s="45">
        <v>0</v>
      </c>
      <c r="Q11" s="45">
        <v>0</v>
      </c>
      <c r="R11" s="44">
        <v>1</v>
      </c>
      <c r="S11" s="44">
        <v>0</v>
      </c>
      <c r="T11" s="44">
        <v>10</v>
      </c>
      <c r="U11" s="44">
        <v>10</v>
      </c>
      <c r="V11" s="44">
        <v>2</v>
      </c>
      <c r="W11" s="45">
        <v>1.62</v>
      </c>
      <c r="X11" s="45">
        <v>0.1</v>
      </c>
      <c r="Y11" s="112"/>
      <c r="Z11" s="113"/>
      <c r="AA11" s="112" t="s">
        <v>11347</v>
      </c>
      <c r="AB11" s="116" t="s">
        <v>3497</v>
      </c>
      <c r="AC11" s="116" t="s">
        <v>3413</v>
      </c>
      <c r="AD11" s="112" t="s">
        <v>3358</v>
      </c>
      <c r="AE11" s="112" t="s">
        <v>3366</v>
      </c>
      <c r="AF11" s="112" t="s">
        <v>3371</v>
      </c>
      <c r="AG11" s="44">
        <v>15</v>
      </c>
      <c r="AH11" s="45">
        <v>21.428571428571427</v>
      </c>
      <c r="AI11" s="44">
        <v>0</v>
      </c>
      <c r="AJ11" s="45">
        <v>0</v>
      </c>
      <c r="AK11" s="44">
        <v>0</v>
      </c>
      <c r="AL11" s="45">
        <v>0</v>
      </c>
      <c r="AM11" s="44">
        <v>55</v>
      </c>
      <c r="AN11" s="45">
        <v>78.57142857142857</v>
      </c>
      <c r="AO11" s="44">
        <v>70</v>
      </c>
    </row>
    <row r="12" spans="1:41" ht="15">
      <c r="A12" s="105" t="s">
        <v>3187</v>
      </c>
      <c r="B12" s="60" t="s">
        <v>3224</v>
      </c>
      <c r="C12" s="60" t="s">
        <v>56</v>
      </c>
      <c r="D12" s="128"/>
      <c r="E12" s="11"/>
      <c r="F12" s="12"/>
      <c r="G12" s="58"/>
      <c r="H12" s="58"/>
      <c r="I12" s="111">
        <v>12</v>
      </c>
      <c r="J12" s="119"/>
      <c r="K12" s="44">
        <v>9</v>
      </c>
      <c r="L12" s="44">
        <v>10</v>
      </c>
      <c r="M12" s="44">
        <v>0</v>
      </c>
      <c r="N12" s="44">
        <v>10</v>
      </c>
      <c r="O12" s="44">
        <v>1</v>
      </c>
      <c r="P12" s="45">
        <v>0</v>
      </c>
      <c r="Q12" s="45">
        <v>0</v>
      </c>
      <c r="R12" s="44">
        <v>1</v>
      </c>
      <c r="S12" s="44">
        <v>0</v>
      </c>
      <c r="T12" s="44">
        <v>9</v>
      </c>
      <c r="U12" s="44">
        <v>10</v>
      </c>
      <c r="V12" s="44">
        <v>2</v>
      </c>
      <c r="W12" s="45">
        <v>1.555556</v>
      </c>
      <c r="X12" s="45">
        <v>0.125</v>
      </c>
      <c r="Y12" s="112"/>
      <c r="Z12" s="113"/>
      <c r="AA12" s="112"/>
      <c r="AB12" s="116" t="s">
        <v>11385</v>
      </c>
      <c r="AC12" s="116" t="s">
        <v>11407</v>
      </c>
      <c r="AD12" s="112" t="s">
        <v>11354</v>
      </c>
      <c r="AE12" s="112" t="s">
        <v>11361</v>
      </c>
      <c r="AF12" s="112" t="s">
        <v>11368</v>
      </c>
      <c r="AG12" s="44">
        <v>12</v>
      </c>
      <c r="AH12" s="45">
        <v>8.75912408759124</v>
      </c>
      <c r="AI12" s="44">
        <v>2</v>
      </c>
      <c r="AJ12" s="45">
        <v>1.4598540145985401</v>
      </c>
      <c r="AK12" s="44">
        <v>0</v>
      </c>
      <c r="AL12" s="45">
        <v>0</v>
      </c>
      <c r="AM12" s="44">
        <v>123</v>
      </c>
      <c r="AN12" s="45">
        <v>89.78102189781022</v>
      </c>
      <c r="AO12" s="44">
        <v>137</v>
      </c>
    </row>
    <row r="13" spans="1:41" ht="15">
      <c r="A13" s="105" t="s">
        <v>3188</v>
      </c>
      <c r="B13" s="60" t="s">
        <v>3225</v>
      </c>
      <c r="C13" s="60" t="s">
        <v>56</v>
      </c>
      <c r="D13" s="128"/>
      <c r="E13" s="11"/>
      <c r="F13" s="12"/>
      <c r="G13" s="58"/>
      <c r="H13" s="58"/>
      <c r="I13" s="111">
        <v>13</v>
      </c>
      <c r="J13" s="119"/>
      <c r="K13" s="44">
        <v>9</v>
      </c>
      <c r="L13" s="44">
        <v>11</v>
      </c>
      <c r="M13" s="44">
        <v>0</v>
      </c>
      <c r="N13" s="44">
        <v>11</v>
      </c>
      <c r="O13" s="44">
        <v>3</v>
      </c>
      <c r="P13" s="45">
        <v>0</v>
      </c>
      <c r="Q13" s="45">
        <v>0</v>
      </c>
      <c r="R13" s="44">
        <v>1</v>
      </c>
      <c r="S13" s="44">
        <v>0</v>
      </c>
      <c r="T13" s="44">
        <v>9</v>
      </c>
      <c r="U13" s="44">
        <v>11</v>
      </c>
      <c r="V13" s="44">
        <v>4</v>
      </c>
      <c r="W13" s="45">
        <v>2.024691</v>
      </c>
      <c r="X13" s="45">
        <v>0.1111111111111111</v>
      </c>
      <c r="Y13" s="112" t="s">
        <v>11340</v>
      </c>
      <c r="Z13" s="113"/>
      <c r="AA13" s="112" t="s">
        <v>11348</v>
      </c>
      <c r="AB13" s="116" t="s">
        <v>3498</v>
      </c>
      <c r="AC13" s="116" t="s">
        <v>3414</v>
      </c>
      <c r="AD13" s="112" t="s">
        <v>3359</v>
      </c>
      <c r="AE13" s="112" t="s">
        <v>759</v>
      </c>
      <c r="AF13" s="112" t="s">
        <v>3372</v>
      </c>
      <c r="AG13" s="44">
        <v>24</v>
      </c>
      <c r="AH13" s="45">
        <v>17.647058823529413</v>
      </c>
      <c r="AI13" s="44">
        <v>4</v>
      </c>
      <c r="AJ13" s="45">
        <v>2.9411764705882355</v>
      </c>
      <c r="AK13" s="44">
        <v>0</v>
      </c>
      <c r="AL13" s="45">
        <v>0</v>
      </c>
      <c r="AM13" s="44">
        <v>106</v>
      </c>
      <c r="AN13" s="45">
        <v>77.94117647058823</v>
      </c>
      <c r="AO13" s="44">
        <v>136</v>
      </c>
    </row>
    <row r="14" spans="1:41" ht="15">
      <c r="A14" s="105" t="s">
        <v>3189</v>
      </c>
      <c r="B14" s="60" t="s">
        <v>3226</v>
      </c>
      <c r="C14" s="60" t="s">
        <v>56</v>
      </c>
      <c r="D14" s="128"/>
      <c r="E14" s="11"/>
      <c r="F14" s="12"/>
      <c r="G14" s="58"/>
      <c r="H14" s="58"/>
      <c r="I14" s="111">
        <v>14</v>
      </c>
      <c r="J14" s="119"/>
      <c r="K14" s="44">
        <v>9</v>
      </c>
      <c r="L14" s="44">
        <v>11</v>
      </c>
      <c r="M14" s="44">
        <v>0</v>
      </c>
      <c r="N14" s="44">
        <v>11</v>
      </c>
      <c r="O14" s="44">
        <v>3</v>
      </c>
      <c r="P14" s="45">
        <v>0</v>
      </c>
      <c r="Q14" s="45">
        <v>0</v>
      </c>
      <c r="R14" s="44">
        <v>1</v>
      </c>
      <c r="S14" s="44">
        <v>0</v>
      </c>
      <c r="T14" s="44">
        <v>9</v>
      </c>
      <c r="U14" s="44">
        <v>11</v>
      </c>
      <c r="V14" s="44">
        <v>4</v>
      </c>
      <c r="W14" s="45">
        <v>1.975309</v>
      </c>
      <c r="X14" s="45">
        <v>0.1111111111111111</v>
      </c>
      <c r="Y14" s="112" t="s">
        <v>11341</v>
      </c>
      <c r="Z14" s="113"/>
      <c r="AA14" s="112" t="s">
        <v>682</v>
      </c>
      <c r="AB14" s="116" t="s">
        <v>11386</v>
      </c>
      <c r="AC14" s="116" t="s">
        <v>11408</v>
      </c>
      <c r="AD14" s="112" t="s">
        <v>11355</v>
      </c>
      <c r="AE14" s="112" t="s">
        <v>339</v>
      </c>
      <c r="AF14" s="112" t="s">
        <v>11369</v>
      </c>
      <c r="AG14" s="44">
        <v>44</v>
      </c>
      <c r="AH14" s="45">
        <v>19.213973799126638</v>
      </c>
      <c r="AI14" s="44">
        <v>13</v>
      </c>
      <c r="AJ14" s="45">
        <v>5.676855895196507</v>
      </c>
      <c r="AK14" s="44">
        <v>0</v>
      </c>
      <c r="AL14" s="45">
        <v>0</v>
      </c>
      <c r="AM14" s="44">
        <v>172</v>
      </c>
      <c r="AN14" s="45">
        <v>75.10917030567686</v>
      </c>
      <c r="AO14" s="44">
        <v>229</v>
      </c>
    </row>
    <row r="15" spans="1:41" ht="15">
      <c r="A15" s="105" t="s">
        <v>3190</v>
      </c>
      <c r="B15" s="60" t="s">
        <v>3215</v>
      </c>
      <c r="C15" s="60" t="s">
        <v>59</v>
      </c>
      <c r="D15" s="128"/>
      <c r="E15" s="11"/>
      <c r="F15" s="12"/>
      <c r="G15" s="58"/>
      <c r="H15" s="58"/>
      <c r="I15" s="111">
        <v>15</v>
      </c>
      <c r="J15" s="119"/>
      <c r="K15" s="44">
        <v>8</v>
      </c>
      <c r="L15" s="44">
        <v>10</v>
      </c>
      <c r="M15" s="44">
        <v>0</v>
      </c>
      <c r="N15" s="44">
        <v>10</v>
      </c>
      <c r="O15" s="44">
        <v>2</v>
      </c>
      <c r="P15" s="45">
        <v>0</v>
      </c>
      <c r="Q15" s="45">
        <v>0</v>
      </c>
      <c r="R15" s="44">
        <v>1</v>
      </c>
      <c r="S15" s="44">
        <v>0</v>
      </c>
      <c r="T15" s="44">
        <v>8</v>
      </c>
      <c r="U15" s="44">
        <v>10</v>
      </c>
      <c r="V15" s="44">
        <v>3</v>
      </c>
      <c r="W15" s="45">
        <v>1.71875</v>
      </c>
      <c r="X15" s="45">
        <v>0.14285714285714285</v>
      </c>
      <c r="Y15" s="112" t="s">
        <v>11342</v>
      </c>
      <c r="Z15" s="113"/>
      <c r="AA15" s="112" t="s">
        <v>701</v>
      </c>
      <c r="AB15" s="116" t="s">
        <v>11387</v>
      </c>
      <c r="AC15" s="116" t="s">
        <v>11409</v>
      </c>
      <c r="AD15" s="112" t="s">
        <v>11356</v>
      </c>
      <c r="AE15" s="112" t="s">
        <v>11362</v>
      </c>
      <c r="AF15" s="112" t="s">
        <v>11370</v>
      </c>
      <c r="AG15" s="44">
        <v>29</v>
      </c>
      <c r="AH15" s="45">
        <v>19.594594594594593</v>
      </c>
      <c r="AI15" s="44">
        <v>3</v>
      </c>
      <c r="AJ15" s="45">
        <v>2.027027027027027</v>
      </c>
      <c r="AK15" s="44">
        <v>0</v>
      </c>
      <c r="AL15" s="45">
        <v>0</v>
      </c>
      <c r="AM15" s="44">
        <v>115</v>
      </c>
      <c r="AN15" s="45">
        <v>77.70270270270271</v>
      </c>
      <c r="AO15" s="44">
        <v>148</v>
      </c>
    </row>
    <row r="16" spans="1:41" ht="15">
      <c r="A16" s="105" t="s">
        <v>3191</v>
      </c>
      <c r="B16" s="60" t="s">
        <v>3216</v>
      </c>
      <c r="C16" s="60" t="s">
        <v>59</v>
      </c>
      <c r="D16" s="128"/>
      <c r="E16" s="11"/>
      <c r="F16" s="12"/>
      <c r="G16" s="58"/>
      <c r="H16" s="58"/>
      <c r="I16" s="111">
        <v>16</v>
      </c>
      <c r="J16" s="119"/>
      <c r="K16" s="44">
        <v>7</v>
      </c>
      <c r="L16" s="44">
        <v>6</v>
      </c>
      <c r="M16" s="44">
        <v>0</v>
      </c>
      <c r="N16" s="44">
        <v>6</v>
      </c>
      <c r="O16" s="44">
        <v>0</v>
      </c>
      <c r="P16" s="45">
        <v>0</v>
      </c>
      <c r="Q16" s="45">
        <v>0</v>
      </c>
      <c r="R16" s="44">
        <v>1</v>
      </c>
      <c r="S16" s="44">
        <v>0</v>
      </c>
      <c r="T16" s="44">
        <v>7</v>
      </c>
      <c r="U16" s="44">
        <v>6</v>
      </c>
      <c r="V16" s="44">
        <v>2</v>
      </c>
      <c r="W16" s="45">
        <v>1.469388</v>
      </c>
      <c r="X16" s="45">
        <v>0.14285714285714285</v>
      </c>
      <c r="Y16" s="112"/>
      <c r="Z16" s="113"/>
      <c r="AA16" s="112"/>
      <c r="AB16" s="116" t="s">
        <v>3287</v>
      </c>
      <c r="AC16" s="116" t="s">
        <v>3328</v>
      </c>
      <c r="AD16" s="112" t="s">
        <v>475</v>
      </c>
      <c r="AE16" s="112" t="s">
        <v>3367</v>
      </c>
      <c r="AF16" s="112" t="s">
        <v>3373</v>
      </c>
      <c r="AG16" s="44">
        <v>6</v>
      </c>
      <c r="AH16" s="45">
        <v>17.142857142857142</v>
      </c>
      <c r="AI16" s="44">
        <v>0</v>
      </c>
      <c r="AJ16" s="45">
        <v>0</v>
      </c>
      <c r="AK16" s="44">
        <v>0</v>
      </c>
      <c r="AL16" s="45">
        <v>0</v>
      </c>
      <c r="AM16" s="44">
        <v>29</v>
      </c>
      <c r="AN16" s="45">
        <v>82.85714285714286</v>
      </c>
      <c r="AO16" s="44">
        <v>35</v>
      </c>
    </row>
    <row r="17" spans="1:41" ht="15">
      <c r="A17" s="105" t="s">
        <v>3192</v>
      </c>
      <c r="B17" s="60" t="s">
        <v>3217</v>
      </c>
      <c r="C17" s="60" t="s">
        <v>59</v>
      </c>
      <c r="D17" s="128"/>
      <c r="E17" s="11"/>
      <c r="F17" s="12"/>
      <c r="G17" s="58"/>
      <c r="H17" s="58"/>
      <c r="I17" s="111">
        <v>17</v>
      </c>
      <c r="J17" s="119"/>
      <c r="K17" s="44">
        <v>7</v>
      </c>
      <c r="L17" s="44">
        <v>6</v>
      </c>
      <c r="M17" s="44">
        <v>0</v>
      </c>
      <c r="N17" s="44">
        <v>6</v>
      </c>
      <c r="O17" s="44">
        <v>0</v>
      </c>
      <c r="P17" s="45">
        <v>0</v>
      </c>
      <c r="Q17" s="45">
        <v>0</v>
      </c>
      <c r="R17" s="44">
        <v>1</v>
      </c>
      <c r="S17" s="44">
        <v>0</v>
      </c>
      <c r="T17" s="44">
        <v>7</v>
      </c>
      <c r="U17" s="44">
        <v>6</v>
      </c>
      <c r="V17" s="44">
        <v>5</v>
      </c>
      <c r="W17" s="45">
        <v>2.040816</v>
      </c>
      <c r="X17" s="45">
        <v>0.14285714285714285</v>
      </c>
      <c r="Y17" s="112"/>
      <c r="Z17" s="113"/>
      <c r="AA17" s="112" t="s">
        <v>682</v>
      </c>
      <c r="AB17" s="116" t="s">
        <v>3288</v>
      </c>
      <c r="AC17" s="116" t="s">
        <v>1384</v>
      </c>
      <c r="AD17" s="112" t="s">
        <v>3360</v>
      </c>
      <c r="AE17" s="112" t="s">
        <v>425</v>
      </c>
      <c r="AF17" s="112" t="s">
        <v>3374</v>
      </c>
      <c r="AG17" s="44">
        <v>4</v>
      </c>
      <c r="AH17" s="45">
        <v>20</v>
      </c>
      <c r="AI17" s="44">
        <v>0</v>
      </c>
      <c r="AJ17" s="45">
        <v>0</v>
      </c>
      <c r="AK17" s="44">
        <v>0</v>
      </c>
      <c r="AL17" s="45">
        <v>0</v>
      </c>
      <c r="AM17" s="44">
        <v>16</v>
      </c>
      <c r="AN17" s="45">
        <v>80</v>
      </c>
      <c r="AO17" s="44">
        <v>20</v>
      </c>
    </row>
    <row r="18" spans="1:41" ht="15">
      <c r="A18" s="105" t="s">
        <v>3193</v>
      </c>
      <c r="B18" s="60" t="s">
        <v>3218</v>
      </c>
      <c r="C18" s="60" t="s">
        <v>59</v>
      </c>
      <c r="D18" s="128"/>
      <c r="E18" s="11"/>
      <c r="F18" s="12"/>
      <c r="G18" s="58"/>
      <c r="H18" s="58"/>
      <c r="I18" s="111">
        <v>18</v>
      </c>
      <c r="J18" s="119"/>
      <c r="K18" s="44">
        <v>5</v>
      </c>
      <c r="L18" s="44">
        <v>4</v>
      </c>
      <c r="M18" s="44">
        <v>0</v>
      </c>
      <c r="N18" s="44">
        <v>4</v>
      </c>
      <c r="O18" s="44">
        <v>0</v>
      </c>
      <c r="P18" s="45">
        <v>0</v>
      </c>
      <c r="Q18" s="45">
        <v>0</v>
      </c>
      <c r="R18" s="44">
        <v>1</v>
      </c>
      <c r="S18" s="44">
        <v>0</v>
      </c>
      <c r="T18" s="44">
        <v>5</v>
      </c>
      <c r="U18" s="44">
        <v>4</v>
      </c>
      <c r="V18" s="44">
        <v>3</v>
      </c>
      <c r="W18" s="45">
        <v>1.44</v>
      </c>
      <c r="X18" s="45">
        <v>0.2</v>
      </c>
      <c r="Y18" s="112"/>
      <c r="Z18" s="113"/>
      <c r="AA18" s="112" t="s">
        <v>11349</v>
      </c>
      <c r="AB18" s="116" t="s">
        <v>11388</v>
      </c>
      <c r="AC18" s="116" t="s">
        <v>3330</v>
      </c>
      <c r="AD18" s="112" t="s">
        <v>3361</v>
      </c>
      <c r="AE18" s="112"/>
      <c r="AF18" s="112" t="s">
        <v>3375</v>
      </c>
      <c r="AG18" s="44">
        <v>9</v>
      </c>
      <c r="AH18" s="45">
        <v>12.162162162162161</v>
      </c>
      <c r="AI18" s="44">
        <v>2</v>
      </c>
      <c r="AJ18" s="45">
        <v>2.7027027027027026</v>
      </c>
      <c r="AK18" s="44">
        <v>0</v>
      </c>
      <c r="AL18" s="45">
        <v>0</v>
      </c>
      <c r="AM18" s="44">
        <v>63</v>
      </c>
      <c r="AN18" s="45">
        <v>85.13513513513513</v>
      </c>
      <c r="AO18" s="44">
        <v>74</v>
      </c>
    </row>
    <row r="19" spans="1:41" ht="15">
      <c r="A19" s="105" t="s">
        <v>3194</v>
      </c>
      <c r="B19" s="60" t="s">
        <v>3219</v>
      </c>
      <c r="C19" s="60" t="s">
        <v>59</v>
      </c>
      <c r="D19" s="128"/>
      <c r="E19" s="11"/>
      <c r="F19" s="12"/>
      <c r="G19" s="58"/>
      <c r="H19" s="58"/>
      <c r="I19" s="111">
        <v>19</v>
      </c>
      <c r="J19" s="119"/>
      <c r="K19" s="44">
        <v>4</v>
      </c>
      <c r="L19" s="44">
        <v>3</v>
      </c>
      <c r="M19" s="44">
        <v>0</v>
      </c>
      <c r="N19" s="44">
        <v>3</v>
      </c>
      <c r="O19" s="44">
        <v>0</v>
      </c>
      <c r="P19" s="45">
        <v>0</v>
      </c>
      <c r="Q19" s="45">
        <v>0</v>
      </c>
      <c r="R19" s="44">
        <v>1</v>
      </c>
      <c r="S19" s="44">
        <v>0</v>
      </c>
      <c r="T19" s="44">
        <v>4</v>
      </c>
      <c r="U19" s="44">
        <v>3</v>
      </c>
      <c r="V19" s="44">
        <v>2</v>
      </c>
      <c r="W19" s="45">
        <v>1.125</v>
      </c>
      <c r="X19" s="45">
        <v>0.25</v>
      </c>
      <c r="Y19" s="112"/>
      <c r="Z19" s="113"/>
      <c r="AA19" s="112"/>
      <c r="AB19" s="116" t="s">
        <v>1384</v>
      </c>
      <c r="AC19" s="116" t="s">
        <v>1384</v>
      </c>
      <c r="AD19" s="112" t="s">
        <v>374</v>
      </c>
      <c r="AE19" s="112" t="s">
        <v>3368</v>
      </c>
      <c r="AF19" s="112" t="s">
        <v>3377</v>
      </c>
      <c r="AG19" s="44">
        <v>6</v>
      </c>
      <c r="AH19" s="45">
        <v>33.333333333333336</v>
      </c>
      <c r="AI19" s="44">
        <v>1</v>
      </c>
      <c r="AJ19" s="45">
        <v>5.555555555555555</v>
      </c>
      <c r="AK19" s="44">
        <v>0</v>
      </c>
      <c r="AL19" s="45">
        <v>0</v>
      </c>
      <c r="AM19" s="44">
        <v>11</v>
      </c>
      <c r="AN19" s="45">
        <v>61.111111111111114</v>
      </c>
      <c r="AO19" s="44">
        <v>18</v>
      </c>
    </row>
    <row r="20" spans="1:41" ht="15">
      <c r="A20" s="105" t="s">
        <v>3195</v>
      </c>
      <c r="B20" s="60" t="s">
        <v>3220</v>
      </c>
      <c r="C20" s="60" t="s">
        <v>59</v>
      </c>
      <c r="D20" s="128"/>
      <c r="E20" s="11"/>
      <c r="F20" s="12"/>
      <c r="G20" s="58"/>
      <c r="H20" s="58"/>
      <c r="I20" s="111">
        <v>20</v>
      </c>
      <c r="J20" s="119"/>
      <c r="K20" s="44">
        <v>4</v>
      </c>
      <c r="L20" s="44">
        <v>4</v>
      </c>
      <c r="M20" s="44">
        <v>0</v>
      </c>
      <c r="N20" s="44">
        <v>4</v>
      </c>
      <c r="O20" s="44">
        <v>1</v>
      </c>
      <c r="P20" s="45">
        <v>0</v>
      </c>
      <c r="Q20" s="45">
        <v>0</v>
      </c>
      <c r="R20" s="44">
        <v>1</v>
      </c>
      <c r="S20" s="44">
        <v>0</v>
      </c>
      <c r="T20" s="44">
        <v>4</v>
      </c>
      <c r="U20" s="44">
        <v>4</v>
      </c>
      <c r="V20" s="44">
        <v>3</v>
      </c>
      <c r="W20" s="45">
        <v>1.25</v>
      </c>
      <c r="X20" s="45">
        <v>0.25</v>
      </c>
      <c r="Y20" s="112"/>
      <c r="Z20" s="113"/>
      <c r="AA20" s="112" t="s">
        <v>682</v>
      </c>
      <c r="AB20" s="116" t="s">
        <v>3289</v>
      </c>
      <c r="AC20" s="116" t="s">
        <v>1384</v>
      </c>
      <c r="AD20" s="112" t="s">
        <v>322</v>
      </c>
      <c r="AE20" s="112" t="s">
        <v>476</v>
      </c>
      <c r="AF20" s="112" t="s">
        <v>3376</v>
      </c>
      <c r="AG20" s="44">
        <v>11</v>
      </c>
      <c r="AH20" s="45">
        <v>12.941176470588236</v>
      </c>
      <c r="AI20" s="44">
        <v>3</v>
      </c>
      <c r="AJ20" s="45">
        <v>3.5294117647058822</v>
      </c>
      <c r="AK20" s="44">
        <v>0</v>
      </c>
      <c r="AL20" s="45">
        <v>0</v>
      </c>
      <c r="AM20" s="44">
        <v>71</v>
      </c>
      <c r="AN20" s="45">
        <v>83.52941176470588</v>
      </c>
      <c r="AO20" s="44">
        <v>85</v>
      </c>
    </row>
    <row r="21" spans="1:41" ht="15">
      <c r="A21" s="105" t="s">
        <v>3196</v>
      </c>
      <c r="B21" s="60" t="s">
        <v>3221</v>
      </c>
      <c r="C21" s="60" t="s">
        <v>59</v>
      </c>
      <c r="D21" s="128"/>
      <c r="E21" s="11"/>
      <c r="F21" s="12"/>
      <c r="G21" s="58"/>
      <c r="H21" s="58"/>
      <c r="I21" s="111">
        <v>21</v>
      </c>
      <c r="J21" s="119"/>
      <c r="K21" s="44">
        <v>4</v>
      </c>
      <c r="L21" s="44">
        <v>6</v>
      </c>
      <c r="M21" s="44">
        <v>0</v>
      </c>
      <c r="N21" s="44">
        <v>6</v>
      </c>
      <c r="O21" s="44">
        <v>3</v>
      </c>
      <c r="P21" s="45">
        <v>0</v>
      </c>
      <c r="Q21" s="45">
        <v>0</v>
      </c>
      <c r="R21" s="44">
        <v>1</v>
      </c>
      <c r="S21" s="44">
        <v>0</v>
      </c>
      <c r="T21" s="44">
        <v>4</v>
      </c>
      <c r="U21" s="44">
        <v>6</v>
      </c>
      <c r="V21" s="44">
        <v>2</v>
      </c>
      <c r="W21" s="45">
        <v>1.125</v>
      </c>
      <c r="X21" s="45">
        <v>0.25</v>
      </c>
      <c r="Y21" s="112" t="s">
        <v>3237</v>
      </c>
      <c r="Z21" s="113"/>
      <c r="AA21" s="112" t="s">
        <v>11350</v>
      </c>
      <c r="AB21" s="116" t="s">
        <v>11389</v>
      </c>
      <c r="AC21" s="116" t="s">
        <v>11410</v>
      </c>
      <c r="AD21" s="112" t="s">
        <v>328</v>
      </c>
      <c r="AE21" s="112"/>
      <c r="AF21" s="112" t="s">
        <v>11371</v>
      </c>
      <c r="AG21" s="44">
        <v>18</v>
      </c>
      <c r="AH21" s="45">
        <v>12.244897959183673</v>
      </c>
      <c r="AI21" s="44">
        <v>6</v>
      </c>
      <c r="AJ21" s="45">
        <v>4.081632653061225</v>
      </c>
      <c r="AK21" s="44">
        <v>0</v>
      </c>
      <c r="AL21" s="45">
        <v>0</v>
      </c>
      <c r="AM21" s="44">
        <v>123</v>
      </c>
      <c r="AN21" s="45">
        <v>83.6734693877551</v>
      </c>
      <c r="AO21" s="44">
        <v>147</v>
      </c>
    </row>
    <row r="22" spans="1:41" ht="15">
      <c r="A22" s="105" t="s">
        <v>3197</v>
      </c>
      <c r="B22" s="60" t="s">
        <v>3222</v>
      </c>
      <c r="C22" s="60" t="s">
        <v>59</v>
      </c>
      <c r="D22" s="128"/>
      <c r="E22" s="11"/>
      <c r="F22" s="12"/>
      <c r="G22" s="58"/>
      <c r="H22" s="58"/>
      <c r="I22" s="111">
        <v>22</v>
      </c>
      <c r="J22" s="119"/>
      <c r="K22" s="44">
        <v>3</v>
      </c>
      <c r="L22" s="44">
        <v>2</v>
      </c>
      <c r="M22" s="44">
        <v>0</v>
      </c>
      <c r="N22" s="44">
        <v>2</v>
      </c>
      <c r="O22" s="44">
        <v>0</v>
      </c>
      <c r="P22" s="45">
        <v>0</v>
      </c>
      <c r="Q22" s="45">
        <v>0</v>
      </c>
      <c r="R22" s="44">
        <v>1</v>
      </c>
      <c r="S22" s="44">
        <v>0</v>
      </c>
      <c r="T22" s="44">
        <v>3</v>
      </c>
      <c r="U22" s="44">
        <v>2</v>
      </c>
      <c r="V22" s="44">
        <v>2</v>
      </c>
      <c r="W22" s="45">
        <v>0.888889</v>
      </c>
      <c r="X22" s="45">
        <v>0.3333333333333333</v>
      </c>
      <c r="Y22" s="112"/>
      <c r="Z22" s="113"/>
      <c r="AA22" s="112"/>
      <c r="AB22" s="116" t="s">
        <v>3290</v>
      </c>
      <c r="AC22" s="116" t="s">
        <v>1384</v>
      </c>
      <c r="AD22" s="112" t="s">
        <v>3362</v>
      </c>
      <c r="AE22" s="112" t="s">
        <v>745</v>
      </c>
      <c r="AF22" s="112" t="s">
        <v>3379</v>
      </c>
      <c r="AG22" s="44">
        <v>4</v>
      </c>
      <c r="AH22" s="45">
        <v>20</v>
      </c>
      <c r="AI22" s="44">
        <v>0</v>
      </c>
      <c r="AJ22" s="45">
        <v>0</v>
      </c>
      <c r="AK22" s="44">
        <v>0</v>
      </c>
      <c r="AL22" s="45">
        <v>0</v>
      </c>
      <c r="AM22" s="44">
        <v>16</v>
      </c>
      <c r="AN22" s="45">
        <v>80</v>
      </c>
      <c r="AO22" s="44">
        <v>20</v>
      </c>
    </row>
    <row r="23" spans="1:41" ht="15">
      <c r="A23" s="105" t="s">
        <v>3198</v>
      </c>
      <c r="B23" s="60" t="s">
        <v>3223</v>
      </c>
      <c r="C23" s="60" t="s">
        <v>59</v>
      </c>
      <c r="D23" s="128"/>
      <c r="E23" s="11"/>
      <c r="F23" s="12"/>
      <c r="G23" s="58"/>
      <c r="H23" s="58"/>
      <c r="I23" s="111">
        <v>23</v>
      </c>
      <c r="J23" s="119"/>
      <c r="K23" s="44">
        <v>3</v>
      </c>
      <c r="L23" s="44">
        <v>2</v>
      </c>
      <c r="M23" s="44">
        <v>0</v>
      </c>
      <c r="N23" s="44">
        <v>2</v>
      </c>
      <c r="O23" s="44">
        <v>0</v>
      </c>
      <c r="P23" s="45">
        <v>0</v>
      </c>
      <c r="Q23" s="45">
        <v>0</v>
      </c>
      <c r="R23" s="44">
        <v>1</v>
      </c>
      <c r="S23" s="44">
        <v>0</v>
      </c>
      <c r="T23" s="44">
        <v>3</v>
      </c>
      <c r="U23" s="44">
        <v>2</v>
      </c>
      <c r="V23" s="44">
        <v>2</v>
      </c>
      <c r="W23" s="45">
        <v>0.888889</v>
      </c>
      <c r="X23" s="45">
        <v>0.3333333333333333</v>
      </c>
      <c r="Y23" s="112"/>
      <c r="Z23" s="113"/>
      <c r="AA23" s="112"/>
      <c r="AB23" s="116" t="s">
        <v>3291</v>
      </c>
      <c r="AC23" s="116" t="s">
        <v>3331</v>
      </c>
      <c r="AD23" s="112" t="s">
        <v>380</v>
      </c>
      <c r="AE23" s="112" t="s">
        <v>379</v>
      </c>
      <c r="AF23" s="112" t="s">
        <v>3380</v>
      </c>
      <c r="AG23" s="44">
        <v>12</v>
      </c>
      <c r="AH23" s="45">
        <v>33.333333333333336</v>
      </c>
      <c r="AI23" s="44">
        <v>0</v>
      </c>
      <c r="AJ23" s="45">
        <v>0</v>
      </c>
      <c r="AK23" s="44">
        <v>0</v>
      </c>
      <c r="AL23" s="45">
        <v>0</v>
      </c>
      <c r="AM23" s="44">
        <v>24</v>
      </c>
      <c r="AN23" s="45">
        <v>66.66666666666667</v>
      </c>
      <c r="AO23" s="44">
        <v>36</v>
      </c>
    </row>
    <row r="24" spans="1:41" ht="15">
      <c r="A24" s="105" t="s">
        <v>3199</v>
      </c>
      <c r="B24" s="60" t="s">
        <v>3224</v>
      </c>
      <c r="C24" s="60" t="s">
        <v>59</v>
      </c>
      <c r="D24" s="128"/>
      <c r="E24" s="11"/>
      <c r="F24" s="12"/>
      <c r="G24" s="58"/>
      <c r="H24" s="58"/>
      <c r="I24" s="111">
        <v>24</v>
      </c>
      <c r="J24" s="119"/>
      <c r="K24" s="44">
        <v>3</v>
      </c>
      <c r="L24" s="44">
        <v>2</v>
      </c>
      <c r="M24" s="44">
        <v>0</v>
      </c>
      <c r="N24" s="44">
        <v>2</v>
      </c>
      <c r="O24" s="44">
        <v>0</v>
      </c>
      <c r="P24" s="45">
        <v>0</v>
      </c>
      <c r="Q24" s="45">
        <v>0</v>
      </c>
      <c r="R24" s="44">
        <v>1</v>
      </c>
      <c r="S24" s="44">
        <v>0</v>
      </c>
      <c r="T24" s="44">
        <v>3</v>
      </c>
      <c r="U24" s="44">
        <v>2</v>
      </c>
      <c r="V24" s="44">
        <v>2</v>
      </c>
      <c r="W24" s="45">
        <v>0.888889</v>
      </c>
      <c r="X24" s="45">
        <v>0.3333333333333333</v>
      </c>
      <c r="Y24" s="112"/>
      <c r="Z24" s="113"/>
      <c r="AA24" s="112"/>
      <c r="AB24" s="116" t="s">
        <v>3293</v>
      </c>
      <c r="AC24" s="116" t="s">
        <v>2530</v>
      </c>
      <c r="AD24" s="112" t="s">
        <v>3363</v>
      </c>
      <c r="AE24" s="112"/>
      <c r="AF24" s="112" t="s">
        <v>3382</v>
      </c>
      <c r="AG24" s="44">
        <v>6</v>
      </c>
      <c r="AH24" s="45">
        <v>75</v>
      </c>
      <c r="AI24" s="44">
        <v>0</v>
      </c>
      <c r="AJ24" s="45">
        <v>0</v>
      </c>
      <c r="AK24" s="44">
        <v>0</v>
      </c>
      <c r="AL24" s="45">
        <v>0</v>
      </c>
      <c r="AM24" s="44">
        <v>2</v>
      </c>
      <c r="AN24" s="45">
        <v>25</v>
      </c>
      <c r="AO24" s="44">
        <v>8</v>
      </c>
    </row>
    <row r="25" spans="1:41" ht="15">
      <c r="A25" s="105" t="s">
        <v>3200</v>
      </c>
      <c r="B25" s="60" t="s">
        <v>3225</v>
      </c>
      <c r="C25" s="60" t="s">
        <v>59</v>
      </c>
      <c r="D25" s="128"/>
      <c r="E25" s="11"/>
      <c r="F25" s="12"/>
      <c r="G25" s="58"/>
      <c r="H25" s="58"/>
      <c r="I25" s="111">
        <v>25</v>
      </c>
      <c r="J25" s="119"/>
      <c r="K25" s="44">
        <v>3</v>
      </c>
      <c r="L25" s="44">
        <v>2</v>
      </c>
      <c r="M25" s="44">
        <v>0</v>
      </c>
      <c r="N25" s="44">
        <v>2</v>
      </c>
      <c r="O25" s="44">
        <v>0</v>
      </c>
      <c r="P25" s="45">
        <v>0</v>
      </c>
      <c r="Q25" s="45">
        <v>0</v>
      </c>
      <c r="R25" s="44">
        <v>1</v>
      </c>
      <c r="S25" s="44">
        <v>0</v>
      </c>
      <c r="T25" s="44">
        <v>3</v>
      </c>
      <c r="U25" s="44">
        <v>2</v>
      </c>
      <c r="V25" s="44">
        <v>2</v>
      </c>
      <c r="W25" s="45">
        <v>0.888889</v>
      </c>
      <c r="X25" s="45">
        <v>0.3333333333333333</v>
      </c>
      <c r="Y25" s="112"/>
      <c r="Z25" s="113"/>
      <c r="AA25" s="112" t="s">
        <v>688</v>
      </c>
      <c r="AB25" s="116" t="s">
        <v>3292</v>
      </c>
      <c r="AC25" s="116" t="s">
        <v>1384</v>
      </c>
      <c r="AD25" s="112" t="s">
        <v>376</v>
      </c>
      <c r="AE25" s="112" t="s">
        <v>375</v>
      </c>
      <c r="AF25" s="112" t="s">
        <v>3381</v>
      </c>
      <c r="AG25" s="44">
        <v>5</v>
      </c>
      <c r="AH25" s="45">
        <v>13.513513513513514</v>
      </c>
      <c r="AI25" s="44">
        <v>0</v>
      </c>
      <c r="AJ25" s="45">
        <v>0</v>
      </c>
      <c r="AK25" s="44">
        <v>0</v>
      </c>
      <c r="AL25" s="45">
        <v>0</v>
      </c>
      <c r="AM25" s="44">
        <v>32</v>
      </c>
      <c r="AN25" s="45">
        <v>86.48648648648648</v>
      </c>
      <c r="AO25" s="44">
        <v>37</v>
      </c>
    </row>
    <row r="26" spans="1:41" ht="15">
      <c r="A26" s="105" t="s">
        <v>3201</v>
      </c>
      <c r="B26" s="60" t="s">
        <v>3226</v>
      </c>
      <c r="C26" s="60" t="s">
        <v>59</v>
      </c>
      <c r="D26" s="128"/>
      <c r="E26" s="11"/>
      <c r="F26" s="12"/>
      <c r="G26" s="58"/>
      <c r="H26" s="58"/>
      <c r="I26" s="111">
        <v>26</v>
      </c>
      <c r="J26" s="119"/>
      <c r="K26" s="44">
        <v>3</v>
      </c>
      <c r="L26" s="44">
        <v>2</v>
      </c>
      <c r="M26" s="44">
        <v>0</v>
      </c>
      <c r="N26" s="44">
        <v>2</v>
      </c>
      <c r="O26" s="44">
        <v>0</v>
      </c>
      <c r="P26" s="45">
        <v>0</v>
      </c>
      <c r="Q26" s="45">
        <v>0</v>
      </c>
      <c r="R26" s="44">
        <v>1</v>
      </c>
      <c r="S26" s="44">
        <v>0</v>
      </c>
      <c r="T26" s="44">
        <v>3</v>
      </c>
      <c r="U26" s="44">
        <v>2</v>
      </c>
      <c r="V26" s="44">
        <v>2</v>
      </c>
      <c r="W26" s="45">
        <v>0.888889</v>
      </c>
      <c r="X26" s="45">
        <v>0.3333333333333333</v>
      </c>
      <c r="Y26" s="112"/>
      <c r="Z26" s="113"/>
      <c r="AA26" s="112" t="s">
        <v>694</v>
      </c>
      <c r="AB26" s="116" t="s">
        <v>1384</v>
      </c>
      <c r="AC26" s="116" t="s">
        <v>1384</v>
      </c>
      <c r="AD26" s="112" t="s">
        <v>406</v>
      </c>
      <c r="AE26" s="112" t="s">
        <v>405</v>
      </c>
      <c r="AF26" s="112" t="s">
        <v>3378</v>
      </c>
      <c r="AG26" s="44">
        <v>0</v>
      </c>
      <c r="AH26" s="45">
        <v>0</v>
      </c>
      <c r="AI26" s="44">
        <v>0</v>
      </c>
      <c r="AJ26" s="45">
        <v>0</v>
      </c>
      <c r="AK26" s="44">
        <v>0</v>
      </c>
      <c r="AL26" s="45">
        <v>0</v>
      </c>
      <c r="AM26" s="44">
        <v>6</v>
      </c>
      <c r="AN26" s="45">
        <v>100</v>
      </c>
      <c r="AO26" s="44">
        <v>6</v>
      </c>
    </row>
    <row r="27" spans="1:41" ht="15">
      <c r="A27" s="105" t="s">
        <v>3202</v>
      </c>
      <c r="B27" s="60" t="s">
        <v>3215</v>
      </c>
      <c r="C27" s="60" t="s">
        <v>61</v>
      </c>
      <c r="D27" s="128"/>
      <c r="E27" s="11"/>
      <c r="F27" s="12"/>
      <c r="G27" s="58"/>
      <c r="H27" s="58"/>
      <c r="I27" s="111">
        <v>27</v>
      </c>
      <c r="J27" s="119"/>
      <c r="K27" s="44">
        <v>2</v>
      </c>
      <c r="L27" s="44">
        <v>1</v>
      </c>
      <c r="M27" s="44">
        <v>0</v>
      </c>
      <c r="N27" s="44">
        <v>1</v>
      </c>
      <c r="O27" s="44">
        <v>0</v>
      </c>
      <c r="P27" s="45">
        <v>0</v>
      </c>
      <c r="Q27" s="45">
        <v>0</v>
      </c>
      <c r="R27" s="44">
        <v>1</v>
      </c>
      <c r="S27" s="44">
        <v>0</v>
      </c>
      <c r="T27" s="44">
        <v>2</v>
      </c>
      <c r="U27" s="44">
        <v>1</v>
      </c>
      <c r="V27" s="44">
        <v>1</v>
      </c>
      <c r="W27" s="45">
        <v>0.5</v>
      </c>
      <c r="X27" s="45">
        <v>0.5</v>
      </c>
      <c r="Y27" s="112"/>
      <c r="Z27" s="113"/>
      <c r="AA27" s="112"/>
      <c r="AB27" s="116" t="s">
        <v>2880</v>
      </c>
      <c r="AC27" s="116" t="s">
        <v>1384</v>
      </c>
      <c r="AD27" s="112" t="s">
        <v>480</v>
      </c>
      <c r="AE27" s="112"/>
      <c r="AF27" s="112" t="s">
        <v>3399</v>
      </c>
      <c r="AG27" s="44">
        <v>5</v>
      </c>
      <c r="AH27" s="45">
        <v>33.333333333333336</v>
      </c>
      <c r="AI27" s="44">
        <v>4</v>
      </c>
      <c r="AJ27" s="45">
        <v>26.666666666666668</v>
      </c>
      <c r="AK27" s="44">
        <v>0</v>
      </c>
      <c r="AL27" s="45">
        <v>0</v>
      </c>
      <c r="AM27" s="44">
        <v>6</v>
      </c>
      <c r="AN27" s="45">
        <v>40</v>
      </c>
      <c r="AO27" s="44">
        <v>15</v>
      </c>
    </row>
    <row r="28" spans="1:41" ht="15">
      <c r="A28" s="105" t="s">
        <v>3203</v>
      </c>
      <c r="B28" s="60" t="s">
        <v>3216</v>
      </c>
      <c r="C28" s="60" t="s">
        <v>61</v>
      </c>
      <c r="D28" s="128"/>
      <c r="E28" s="11"/>
      <c r="F28" s="12"/>
      <c r="G28" s="58"/>
      <c r="H28" s="58"/>
      <c r="I28" s="111">
        <v>28</v>
      </c>
      <c r="J28" s="119"/>
      <c r="K28" s="44">
        <v>2</v>
      </c>
      <c r="L28" s="44">
        <v>1</v>
      </c>
      <c r="M28" s="44">
        <v>0</v>
      </c>
      <c r="N28" s="44">
        <v>1</v>
      </c>
      <c r="O28" s="44">
        <v>0</v>
      </c>
      <c r="P28" s="45">
        <v>0</v>
      </c>
      <c r="Q28" s="45">
        <v>0</v>
      </c>
      <c r="R28" s="44">
        <v>1</v>
      </c>
      <c r="S28" s="44">
        <v>0</v>
      </c>
      <c r="T28" s="44">
        <v>2</v>
      </c>
      <c r="U28" s="44">
        <v>1</v>
      </c>
      <c r="V28" s="44">
        <v>1</v>
      </c>
      <c r="W28" s="45">
        <v>0.5</v>
      </c>
      <c r="X28" s="45">
        <v>0.5</v>
      </c>
      <c r="Y28" s="112"/>
      <c r="Z28" s="113"/>
      <c r="AA28" s="112"/>
      <c r="AB28" s="116" t="s">
        <v>3298</v>
      </c>
      <c r="AC28" s="116" t="s">
        <v>1384</v>
      </c>
      <c r="AD28" s="112" t="s">
        <v>346</v>
      </c>
      <c r="AE28" s="112"/>
      <c r="AF28" s="112" t="s">
        <v>3398</v>
      </c>
      <c r="AG28" s="44">
        <v>5</v>
      </c>
      <c r="AH28" s="45">
        <v>17.24137931034483</v>
      </c>
      <c r="AI28" s="44">
        <v>1</v>
      </c>
      <c r="AJ28" s="45">
        <v>3.4482758620689653</v>
      </c>
      <c r="AK28" s="44">
        <v>0</v>
      </c>
      <c r="AL28" s="45">
        <v>0</v>
      </c>
      <c r="AM28" s="44">
        <v>23</v>
      </c>
      <c r="AN28" s="45">
        <v>79.3103448275862</v>
      </c>
      <c r="AO28" s="44">
        <v>29</v>
      </c>
    </row>
    <row r="29" spans="1:41" ht="15">
      <c r="A29" s="105" t="s">
        <v>3204</v>
      </c>
      <c r="B29" s="60" t="s">
        <v>3217</v>
      </c>
      <c r="C29" s="60" t="s">
        <v>61</v>
      </c>
      <c r="D29" s="128"/>
      <c r="E29" s="11"/>
      <c r="F29" s="12"/>
      <c r="G29" s="58"/>
      <c r="H29" s="58"/>
      <c r="I29" s="111">
        <v>29</v>
      </c>
      <c r="J29" s="119"/>
      <c r="K29" s="44">
        <v>2</v>
      </c>
      <c r="L29" s="44">
        <v>1</v>
      </c>
      <c r="M29" s="44">
        <v>0</v>
      </c>
      <c r="N29" s="44">
        <v>1</v>
      </c>
      <c r="O29" s="44">
        <v>0</v>
      </c>
      <c r="P29" s="45">
        <v>0</v>
      </c>
      <c r="Q29" s="45">
        <v>0</v>
      </c>
      <c r="R29" s="44">
        <v>1</v>
      </c>
      <c r="S29" s="44">
        <v>0</v>
      </c>
      <c r="T29" s="44">
        <v>2</v>
      </c>
      <c r="U29" s="44">
        <v>1</v>
      </c>
      <c r="V29" s="44">
        <v>1</v>
      </c>
      <c r="W29" s="45">
        <v>0.5</v>
      </c>
      <c r="X29" s="45">
        <v>0.5</v>
      </c>
      <c r="Y29" s="112"/>
      <c r="Z29" s="113"/>
      <c r="AA29" s="112"/>
      <c r="AB29" s="116" t="s">
        <v>1384</v>
      </c>
      <c r="AC29" s="116" t="s">
        <v>1384</v>
      </c>
      <c r="AD29" s="112" t="s">
        <v>401</v>
      </c>
      <c r="AE29" s="112"/>
      <c r="AF29" s="112" t="s">
        <v>3393</v>
      </c>
      <c r="AG29" s="44">
        <v>3</v>
      </c>
      <c r="AH29" s="45">
        <v>75</v>
      </c>
      <c r="AI29" s="44">
        <v>0</v>
      </c>
      <c r="AJ29" s="45">
        <v>0</v>
      </c>
      <c r="AK29" s="44">
        <v>0</v>
      </c>
      <c r="AL29" s="45">
        <v>0</v>
      </c>
      <c r="AM29" s="44">
        <v>1</v>
      </c>
      <c r="AN29" s="45">
        <v>25</v>
      </c>
      <c r="AO29" s="44">
        <v>4</v>
      </c>
    </row>
    <row r="30" spans="1:41" ht="15">
      <c r="A30" s="105" t="s">
        <v>3205</v>
      </c>
      <c r="B30" s="60" t="s">
        <v>3218</v>
      </c>
      <c r="C30" s="60" t="s">
        <v>61</v>
      </c>
      <c r="D30" s="128"/>
      <c r="E30" s="11"/>
      <c r="F30" s="12"/>
      <c r="G30" s="58"/>
      <c r="H30" s="58"/>
      <c r="I30" s="111">
        <v>30</v>
      </c>
      <c r="J30" s="119"/>
      <c r="K30" s="44">
        <v>2</v>
      </c>
      <c r="L30" s="44">
        <v>1</v>
      </c>
      <c r="M30" s="44">
        <v>0</v>
      </c>
      <c r="N30" s="44">
        <v>1</v>
      </c>
      <c r="O30" s="44">
        <v>0</v>
      </c>
      <c r="P30" s="45">
        <v>0</v>
      </c>
      <c r="Q30" s="45">
        <v>0</v>
      </c>
      <c r="R30" s="44">
        <v>1</v>
      </c>
      <c r="S30" s="44">
        <v>0</v>
      </c>
      <c r="T30" s="44">
        <v>2</v>
      </c>
      <c r="U30" s="44">
        <v>1</v>
      </c>
      <c r="V30" s="44">
        <v>1</v>
      </c>
      <c r="W30" s="45">
        <v>0.5</v>
      </c>
      <c r="X30" s="45">
        <v>0.5</v>
      </c>
      <c r="Y30" s="112"/>
      <c r="Z30" s="113"/>
      <c r="AA30" s="112"/>
      <c r="AB30" s="116" t="s">
        <v>2373</v>
      </c>
      <c r="AC30" s="116" t="s">
        <v>1384</v>
      </c>
      <c r="AD30" s="112" t="s">
        <v>404</v>
      </c>
      <c r="AE30" s="112"/>
      <c r="AF30" s="112" t="s">
        <v>3392</v>
      </c>
      <c r="AG30" s="44">
        <v>3</v>
      </c>
      <c r="AH30" s="45">
        <v>21.428571428571427</v>
      </c>
      <c r="AI30" s="44">
        <v>0</v>
      </c>
      <c r="AJ30" s="45">
        <v>0</v>
      </c>
      <c r="AK30" s="44">
        <v>0</v>
      </c>
      <c r="AL30" s="45">
        <v>0</v>
      </c>
      <c r="AM30" s="44">
        <v>11</v>
      </c>
      <c r="AN30" s="45">
        <v>78.57142857142857</v>
      </c>
      <c r="AO30" s="44">
        <v>14</v>
      </c>
    </row>
    <row r="31" spans="1:41" ht="15">
      <c r="A31" s="105" t="s">
        <v>3206</v>
      </c>
      <c r="B31" s="60" t="s">
        <v>3219</v>
      </c>
      <c r="C31" s="60" t="s">
        <v>61</v>
      </c>
      <c r="D31" s="128"/>
      <c r="E31" s="11"/>
      <c r="F31" s="12"/>
      <c r="G31" s="58"/>
      <c r="H31" s="58"/>
      <c r="I31" s="111">
        <v>31</v>
      </c>
      <c r="J31" s="119"/>
      <c r="K31" s="44">
        <v>2</v>
      </c>
      <c r="L31" s="44">
        <v>1</v>
      </c>
      <c r="M31" s="44">
        <v>0</v>
      </c>
      <c r="N31" s="44">
        <v>1</v>
      </c>
      <c r="O31" s="44">
        <v>0</v>
      </c>
      <c r="P31" s="45">
        <v>0</v>
      </c>
      <c r="Q31" s="45">
        <v>0</v>
      </c>
      <c r="R31" s="44">
        <v>1</v>
      </c>
      <c r="S31" s="44">
        <v>0</v>
      </c>
      <c r="T31" s="44">
        <v>2</v>
      </c>
      <c r="U31" s="44">
        <v>1</v>
      </c>
      <c r="V31" s="44">
        <v>1</v>
      </c>
      <c r="W31" s="45">
        <v>0.5</v>
      </c>
      <c r="X31" s="45">
        <v>0.5</v>
      </c>
      <c r="Y31" s="112"/>
      <c r="Z31" s="113"/>
      <c r="AA31" s="112" t="s">
        <v>703</v>
      </c>
      <c r="AB31" s="116" t="s">
        <v>1384</v>
      </c>
      <c r="AC31" s="116" t="s">
        <v>1384</v>
      </c>
      <c r="AD31" s="112" t="s">
        <v>477</v>
      </c>
      <c r="AE31" s="112"/>
      <c r="AF31" s="112" t="s">
        <v>3383</v>
      </c>
      <c r="AG31" s="44">
        <v>0</v>
      </c>
      <c r="AH31" s="45">
        <v>0</v>
      </c>
      <c r="AI31" s="44">
        <v>0</v>
      </c>
      <c r="AJ31" s="45">
        <v>0</v>
      </c>
      <c r="AK31" s="44">
        <v>0</v>
      </c>
      <c r="AL31" s="45">
        <v>0</v>
      </c>
      <c r="AM31" s="44">
        <v>22</v>
      </c>
      <c r="AN31" s="45">
        <v>100</v>
      </c>
      <c r="AO31" s="44">
        <v>22</v>
      </c>
    </row>
    <row r="32" spans="1:41" ht="15">
      <c r="A32" s="105" t="s">
        <v>3207</v>
      </c>
      <c r="B32" s="60" t="s">
        <v>3220</v>
      </c>
      <c r="C32" s="60" t="s">
        <v>61</v>
      </c>
      <c r="D32" s="128"/>
      <c r="E32" s="11"/>
      <c r="F32" s="12"/>
      <c r="G32" s="58"/>
      <c r="H32" s="58"/>
      <c r="I32" s="111">
        <v>32</v>
      </c>
      <c r="J32" s="119"/>
      <c r="K32" s="44">
        <v>2</v>
      </c>
      <c r="L32" s="44">
        <v>1</v>
      </c>
      <c r="M32" s="44">
        <v>0</v>
      </c>
      <c r="N32" s="44">
        <v>1</v>
      </c>
      <c r="O32" s="44">
        <v>0</v>
      </c>
      <c r="P32" s="45">
        <v>0</v>
      </c>
      <c r="Q32" s="45">
        <v>0</v>
      </c>
      <c r="R32" s="44">
        <v>1</v>
      </c>
      <c r="S32" s="44">
        <v>0</v>
      </c>
      <c r="T32" s="44">
        <v>2</v>
      </c>
      <c r="U32" s="44">
        <v>1</v>
      </c>
      <c r="V32" s="44">
        <v>1</v>
      </c>
      <c r="W32" s="45">
        <v>0.5</v>
      </c>
      <c r="X32" s="45">
        <v>0.5</v>
      </c>
      <c r="Y32" s="112" t="s">
        <v>2352</v>
      </c>
      <c r="Z32" s="113"/>
      <c r="AA32" s="112"/>
      <c r="AB32" s="116" t="s">
        <v>1384</v>
      </c>
      <c r="AC32" s="116" t="s">
        <v>1384</v>
      </c>
      <c r="AD32" s="112"/>
      <c r="AE32" s="112" t="s">
        <v>462</v>
      </c>
      <c r="AF32" s="112" t="s">
        <v>3391</v>
      </c>
      <c r="AG32" s="44">
        <v>3</v>
      </c>
      <c r="AH32" s="45">
        <v>27.272727272727273</v>
      </c>
      <c r="AI32" s="44">
        <v>0</v>
      </c>
      <c r="AJ32" s="45">
        <v>0</v>
      </c>
      <c r="AK32" s="44">
        <v>0</v>
      </c>
      <c r="AL32" s="45">
        <v>0</v>
      </c>
      <c r="AM32" s="44">
        <v>8</v>
      </c>
      <c r="AN32" s="45">
        <v>72.72727272727273</v>
      </c>
      <c r="AO32" s="44">
        <v>11</v>
      </c>
    </row>
    <row r="33" spans="1:41" ht="15">
      <c r="A33" s="105" t="s">
        <v>3208</v>
      </c>
      <c r="B33" s="60" t="s">
        <v>3221</v>
      </c>
      <c r="C33" s="60" t="s">
        <v>61</v>
      </c>
      <c r="D33" s="128"/>
      <c r="E33" s="11"/>
      <c r="F33" s="12"/>
      <c r="G33" s="58"/>
      <c r="H33" s="58"/>
      <c r="I33" s="111">
        <v>33</v>
      </c>
      <c r="J33" s="119"/>
      <c r="K33" s="44">
        <v>2</v>
      </c>
      <c r="L33" s="44">
        <v>1</v>
      </c>
      <c r="M33" s="44">
        <v>0</v>
      </c>
      <c r="N33" s="44">
        <v>1</v>
      </c>
      <c r="O33" s="44">
        <v>0</v>
      </c>
      <c r="P33" s="45">
        <v>0</v>
      </c>
      <c r="Q33" s="45">
        <v>0</v>
      </c>
      <c r="R33" s="44">
        <v>1</v>
      </c>
      <c r="S33" s="44">
        <v>0</v>
      </c>
      <c r="T33" s="44">
        <v>2</v>
      </c>
      <c r="U33" s="44">
        <v>1</v>
      </c>
      <c r="V33" s="44">
        <v>1</v>
      </c>
      <c r="W33" s="45">
        <v>0.5</v>
      </c>
      <c r="X33" s="45">
        <v>0.5</v>
      </c>
      <c r="Y33" s="112"/>
      <c r="Z33" s="113"/>
      <c r="AA33" s="112"/>
      <c r="AB33" s="116" t="s">
        <v>1384</v>
      </c>
      <c r="AC33" s="116" t="s">
        <v>1384</v>
      </c>
      <c r="AD33" s="112" t="s">
        <v>467</v>
      </c>
      <c r="AE33" s="112"/>
      <c r="AF33" s="112" t="s">
        <v>3388</v>
      </c>
      <c r="AG33" s="44">
        <v>3</v>
      </c>
      <c r="AH33" s="45">
        <v>50</v>
      </c>
      <c r="AI33" s="44">
        <v>0</v>
      </c>
      <c r="AJ33" s="45">
        <v>0</v>
      </c>
      <c r="AK33" s="44">
        <v>0</v>
      </c>
      <c r="AL33" s="45">
        <v>0</v>
      </c>
      <c r="AM33" s="44">
        <v>3</v>
      </c>
      <c r="AN33" s="45">
        <v>50</v>
      </c>
      <c r="AO33" s="44">
        <v>6</v>
      </c>
    </row>
    <row r="34" spans="1:41" ht="15">
      <c r="A34" s="105" t="s">
        <v>3209</v>
      </c>
      <c r="B34" s="60" t="s">
        <v>3222</v>
      </c>
      <c r="C34" s="60" t="s">
        <v>61</v>
      </c>
      <c r="D34" s="128"/>
      <c r="E34" s="11"/>
      <c r="F34" s="12"/>
      <c r="G34" s="58"/>
      <c r="H34" s="58"/>
      <c r="I34" s="111">
        <v>34</v>
      </c>
      <c r="J34" s="119"/>
      <c r="K34" s="44">
        <v>2</v>
      </c>
      <c r="L34" s="44">
        <v>1</v>
      </c>
      <c r="M34" s="44">
        <v>0</v>
      </c>
      <c r="N34" s="44">
        <v>1</v>
      </c>
      <c r="O34" s="44">
        <v>0</v>
      </c>
      <c r="P34" s="45">
        <v>0</v>
      </c>
      <c r="Q34" s="45">
        <v>0</v>
      </c>
      <c r="R34" s="44">
        <v>1</v>
      </c>
      <c r="S34" s="44">
        <v>0</v>
      </c>
      <c r="T34" s="44">
        <v>2</v>
      </c>
      <c r="U34" s="44">
        <v>1</v>
      </c>
      <c r="V34" s="44">
        <v>1</v>
      </c>
      <c r="W34" s="45">
        <v>0.5</v>
      </c>
      <c r="X34" s="45">
        <v>0.5</v>
      </c>
      <c r="Y34" s="112"/>
      <c r="Z34" s="113"/>
      <c r="AA34" s="112" t="s">
        <v>682</v>
      </c>
      <c r="AB34" s="116" t="s">
        <v>2865</v>
      </c>
      <c r="AC34" s="116" t="s">
        <v>1384</v>
      </c>
      <c r="AD34" s="112" t="s">
        <v>468</v>
      </c>
      <c r="AE34" s="112"/>
      <c r="AF34" s="112" t="s">
        <v>3387</v>
      </c>
      <c r="AG34" s="44">
        <v>1</v>
      </c>
      <c r="AH34" s="45">
        <v>4.3478260869565215</v>
      </c>
      <c r="AI34" s="44">
        <v>0</v>
      </c>
      <c r="AJ34" s="45">
        <v>0</v>
      </c>
      <c r="AK34" s="44">
        <v>0</v>
      </c>
      <c r="AL34" s="45">
        <v>0</v>
      </c>
      <c r="AM34" s="44">
        <v>22</v>
      </c>
      <c r="AN34" s="45">
        <v>95.65217391304348</v>
      </c>
      <c r="AO34" s="44">
        <v>23</v>
      </c>
    </row>
    <row r="35" spans="1:41" ht="15">
      <c r="A35" s="105" t="s">
        <v>3210</v>
      </c>
      <c r="B35" s="60" t="s">
        <v>3223</v>
      </c>
      <c r="C35" s="60" t="s">
        <v>61</v>
      </c>
      <c r="D35" s="128"/>
      <c r="E35" s="11"/>
      <c r="F35" s="12"/>
      <c r="G35" s="58"/>
      <c r="H35" s="58"/>
      <c r="I35" s="111">
        <v>35</v>
      </c>
      <c r="J35" s="119"/>
      <c r="K35" s="44">
        <v>2</v>
      </c>
      <c r="L35" s="44">
        <v>1</v>
      </c>
      <c r="M35" s="44">
        <v>0</v>
      </c>
      <c r="N35" s="44">
        <v>1</v>
      </c>
      <c r="O35" s="44">
        <v>0</v>
      </c>
      <c r="P35" s="45">
        <v>0</v>
      </c>
      <c r="Q35" s="45">
        <v>0</v>
      </c>
      <c r="R35" s="44">
        <v>1</v>
      </c>
      <c r="S35" s="44">
        <v>0</v>
      </c>
      <c r="T35" s="44">
        <v>2</v>
      </c>
      <c r="U35" s="44">
        <v>1</v>
      </c>
      <c r="V35" s="44">
        <v>1</v>
      </c>
      <c r="W35" s="45">
        <v>0.5</v>
      </c>
      <c r="X35" s="45">
        <v>0.5</v>
      </c>
      <c r="Y35" s="112"/>
      <c r="Z35" s="113"/>
      <c r="AA35" s="112"/>
      <c r="AB35" s="116" t="s">
        <v>3295</v>
      </c>
      <c r="AC35" s="116" t="s">
        <v>3332</v>
      </c>
      <c r="AD35" s="112" t="s">
        <v>469</v>
      </c>
      <c r="AE35" s="112"/>
      <c r="AF35" s="112" t="s">
        <v>3386</v>
      </c>
      <c r="AG35" s="44">
        <v>8</v>
      </c>
      <c r="AH35" s="45">
        <v>23.529411764705884</v>
      </c>
      <c r="AI35" s="44">
        <v>0</v>
      </c>
      <c r="AJ35" s="45">
        <v>0</v>
      </c>
      <c r="AK35" s="44">
        <v>0</v>
      </c>
      <c r="AL35" s="45">
        <v>0</v>
      </c>
      <c r="AM35" s="44">
        <v>26</v>
      </c>
      <c r="AN35" s="45">
        <v>76.47058823529412</v>
      </c>
      <c r="AO35" s="44">
        <v>34</v>
      </c>
    </row>
    <row r="36" spans="1:41" ht="15">
      <c r="A36" s="105" t="s">
        <v>3211</v>
      </c>
      <c r="B36" s="60" t="s">
        <v>3224</v>
      </c>
      <c r="C36" s="60" t="s">
        <v>61</v>
      </c>
      <c r="D36" s="128"/>
      <c r="E36" s="11"/>
      <c r="F36" s="12"/>
      <c r="G36" s="58"/>
      <c r="H36" s="58"/>
      <c r="I36" s="111">
        <v>36</v>
      </c>
      <c r="J36" s="119"/>
      <c r="K36" s="44">
        <v>2</v>
      </c>
      <c r="L36" s="44">
        <v>1</v>
      </c>
      <c r="M36" s="44">
        <v>0</v>
      </c>
      <c r="N36" s="44">
        <v>1</v>
      </c>
      <c r="O36" s="44">
        <v>0</v>
      </c>
      <c r="P36" s="45">
        <v>0</v>
      </c>
      <c r="Q36" s="45">
        <v>0</v>
      </c>
      <c r="R36" s="44">
        <v>1</v>
      </c>
      <c r="S36" s="44">
        <v>0</v>
      </c>
      <c r="T36" s="44">
        <v>2</v>
      </c>
      <c r="U36" s="44">
        <v>1</v>
      </c>
      <c r="V36" s="44">
        <v>1</v>
      </c>
      <c r="W36" s="45">
        <v>0.5</v>
      </c>
      <c r="X36" s="45">
        <v>0.5</v>
      </c>
      <c r="Y36" s="112"/>
      <c r="Z36" s="113"/>
      <c r="AA36" s="112"/>
      <c r="AB36" s="116" t="s">
        <v>1384</v>
      </c>
      <c r="AC36" s="116" t="s">
        <v>1384</v>
      </c>
      <c r="AD36" s="112" t="s">
        <v>3364</v>
      </c>
      <c r="AE36" s="112" t="s">
        <v>466</v>
      </c>
      <c r="AF36" s="112" t="s">
        <v>3390</v>
      </c>
      <c r="AG36" s="44">
        <v>3</v>
      </c>
      <c r="AH36" s="45">
        <v>60</v>
      </c>
      <c r="AI36" s="44">
        <v>0</v>
      </c>
      <c r="AJ36" s="45">
        <v>0</v>
      </c>
      <c r="AK36" s="44">
        <v>0</v>
      </c>
      <c r="AL36" s="45">
        <v>0</v>
      </c>
      <c r="AM36" s="44">
        <v>2</v>
      </c>
      <c r="AN36" s="45">
        <v>40</v>
      </c>
      <c r="AO36" s="44">
        <v>5</v>
      </c>
    </row>
    <row r="37" spans="1:41" ht="15">
      <c r="A37" s="105" t="s">
        <v>3212</v>
      </c>
      <c r="B37" s="60" t="s">
        <v>3225</v>
      </c>
      <c r="C37" s="60" t="s">
        <v>61</v>
      </c>
      <c r="D37" s="128"/>
      <c r="E37" s="11"/>
      <c r="F37" s="12"/>
      <c r="G37" s="58"/>
      <c r="H37" s="58"/>
      <c r="I37" s="111">
        <v>37</v>
      </c>
      <c r="J37" s="119"/>
      <c r="K37" s="44">
        <v>2</v>
      </c>
      <c r="L37" s="44">
        <v>1</v>
      </c>
      <c r="M37" s="44">
        <v>0</v>
      </c>
      <c r="N37" s="44">
        <v>1</v>
      </c>
      <c r="O37" s="44">
        <v>0</v>
      </c>
      <c r="P37" s="45">
        <v>0</v>
      </c>
      <c r="Q37" s="45">
        <v>0</v>
      </c>
      <c r="R37" s="44">
        <v>1</v>
      </c>
      <c r="S37" s="44">
        <v>0</v>
      </c>
      <c r="T37" s="44">
        <v>2</v>
      </c>
      <c r="U37" s="44">
        <v>1</v>
      </c>
      <c r="V37" s="44">
        <v>1</v>
      </c>
      <c r="W37" s="45">
        <v>0.5</v>
      </c>
      <c r="X37" s="45">
        <v>0.5</v>
      </c>
      <c r="Y37" s="112"/>
      <c r="Z37" s="113"/>
      <c r="AA37" s="112"/>
      <c r="AB37" s="116" t="s">
        <v>3296</v>
      </c>
      <c r="AC37" s="116" t="s">
        <v>3333</v>
      </c>
      <c r="AD37" s="112" t="s">
        <v>2957</v>
      </c>
      <c r="AE37" s="112"/>
      <c r="AF37" s="112" t="s">
        <v>3395</v>
      </c>
      <c r="AG37" s="44">
        <v>6</v>
      </c>
      <c r="AH37" s="45">
        <v>33.333333333333336</v>
      </c>
      <c r="AI37" s="44">
        <v>0</v>
      </c>
      <c r="AJ37" s="45">
        <v>0</v>
      </c>
      <c r="AK37" s="44">
        <v>0</v>
      </c>
      <c r="AL37" s="45">
        <v>0</v>
      </c>
      <c r="AM37" s="44">
        <v>12</v>
      </c>
      <c r="AN37" s="45">
        <v>66.66666666666667</v>
      </c>
      <c r="AO37" s="44">
        <v>18</v>
      </c>
    </row>
    <row r="38" spans="1:41" ht="15">
      <c r="A38" s="105" t="s">
        <v>3213</v>
      </c>
      <c r="B38" s="60" t="s">
        <v>3226</v>
      </c>
      <c r="C38" s="60" t="s">
        <v>61</v>
      </c>
      <c r="D38" s="128"/>
      <c r="E38" s="11"/>
      <c r="F38" s="12"/>
      <c r="G38" s="58"/>
      <c r="H38" s="58"/>
      <c r="I38" s="111">
        <v>38</v>
      </c>
      <c r="J38" s="119"/>
      <c r="K38" s="44">
        <v>2</v>
      </c>
      <c r="L38" s="44">
        <v>1</v>
      </c>
      <c r="M38" s="44">
        <v>0</v>
      </c>
      <c r="N38" s="44">
        <v>1</v>
      </c>
      <c r="O38" s="44">
        <v>0</v>
      </c>
      <c r="P38" s="45">
        <v>0</v>
      </c>
      <c r="Q38" s="45">
        <v>0</v>
      </c>
      <c r="R38" s="44">
        <v>1</v>
      </c>
      <c r="S38" s="44">
        <v>0</v>
      </c>
      <c r="T38" s="44">
        <v>2</v>
      </c>
      <c r="U38" s="44">
        <v>1</v>
      </c>
      <c r="V38" s="44">
        <v>1</v>
      </c>
      <c r="W38" s="45">
        <v>0.5</v>
      </c>
      <c r="X38" s="45">
        <v>0.5</v>
      </c>
      <c r="Y38" s="112"/>
      <c r="Z38" s="113"/>
      <c r="AA38" s="112"/>
      <c r="AB38" s="116" t="s">
        <v>2683</v>
      </c>
      <c r="AC38" s="116" t="s">
        <v>1384</v>
      </c>
      <c r="AD38" s="112" t="s">
        <v>382</v>
      </c>
      <c r="AE38" s="112"/>
      <c r="AF38" s="112" t="s">
        <v>3394</v>
      </c>
      <c r="AG38" s="44">
        <v>3</v>
      </c>
      <c r="AH38" s="45">
        <v>15.789473684210526</v>
      </c>
      <c r="AI38" s="44">
        <v>1</v>
      </c>
      <c r="AJ38" s="45">
        <v>5.2631578947368425</v>
      </c>
      <c r="AK38" s="44">
        <v>0</v>
      </c>
      <c r="AL38" s="45">
        <v>0</v>
      </c>
      <c r="AM38" s="44">
        <v>15</v>
      </c>
      <c r="AN38" s="45">
        <v>78.94736842105263</v>
      </c>
      <c r="AO38" s="44">
        <v>19</v>
      </c>
    </row>
    <row r="39" spans="1:41" ht="15">
      <c r="A39" s="105" t="s">
        <v>3214</v>
      </c>
      <c r="B39" s="60" t="s">
        <v>3215</v>
      </c>
      <c r="C39" s="60" t="s">
        <v>63</v>
      </c>
      <c r="D39" s="128"/>
      <c r="E39" s="11"/>
      <c r="F39" s="12"/>
      <c r="G39" s="58"/>
      <c r="H39" s="58"/>
      <c r="I39" s="111">
        <v>39</v>
      </c>
      <c r="J39" s="119"/>
      <c r="K39" s="44">
        <v>2</v>
      </c>
      <c r="L39" s="44">
        <v>2</v>
      </c>
      <c r="M39" s="44">
        <v>0</v>
      </c>
      <c r="N39" s="44">
        <v>2</v>
      </c>
      <c r="O39" s="44">
        <v>1</v>
      </c>
      <c r="P39" s="45">
        <v>0</v>
      </c>
      <c r="Q39" s="45">
        <v>0</v>
      </c>
      <c r="R39" s="44">
        <v>1</v>
      </c>
      <c r="S39" s="44">
        <v>0</v>
      </c>
      <c r="T39" s="44">
        <v>2</v>
      </c>
      <c r="U39" s="44">
        <v>2</v>
      </c>
      <c r="V39" s="44">
        <v>1</v>
      </c>
      <c r="W39" s="45">
        <v>0.5</v>
      </c>
      <c r="X39" s="45">
        <v>0.5</v>
      </c>
      <c r="Y39" s="112"/>
      <c r="Z39" s="113"/>
      <c r="AA39" s="112"/>
      <c r="AB39" s="116" t="s">
        <v>11390</v>
      </c>
      <c r="AC39" s="116" t="s">
        <v>3329</v>
      </c>
      <c r="AD39" s="112"/>
      <c r="AE39" s="112"/>
      <c r="AF39" s="112" t="s">
        <v>3384</v>
      </c>
      <c r="AG39" s="44">
        <v>7</v>
      </c>
      <c r="AH39" s="45">
        <v>43.75</v>
      </c>
      <c r="AI39" s="44">
        <v>0</v>
      </c>
      <c r="AJ39" s="45">
        <v>0</v>
      </c>
      <c r="AK39" s="44">
        <v>0</v>
      </c>
      <c r="AL39" s="45">
        <v>0</v>
      </c>
      <c r="AM39" s="44">
        <v>9</v>
      </c>
      <c r="AN39" s="45">
        <v>56.25</v>
      </c>
      <c r="AO39" s="44">
        <v>16</v>
      </c>
    </row>
    <row r="40" spans="1:41" ht="15">
      <c r="A40" s="105" t="s">
        <v>3493</v>
      </c>
      <c r="B40" s="60" t="s">
        <v>3216</v>
      </c>
      <c r="C40" s="60" t="s">
        <v>63</v>
      </c>
      <c r="D40" s="128"/>
      <c r="E40" s="11"/>
      <c r="F40" s="12"/>
      <c r="G40" s="58"/>
      <c r="H40" s="58"/>
      <c r="I40" s="111">
        <v>40</v>
      </c>
      <c r="J40" s="119"/>
      <c r="K40" s="44">
        <v>2</v>
      </c>
      <c r="L40" s="44">
        <v>2</v>
      </c>
      <c r="M40" s="44">
        <v>0</v>
      </c>
      <c r="N40" s="44">
        <v>2</v>
      </c>
      <c r="O40" s="44">
        <v>1</v>
      </c>
      <c r="P40" s="45">
        <v>0</v>
      </c>
      <c r="Q40" s="45">
        <v>0</v>
      </c>
      <c r="R40" s="44">
        <v>1</v>
      </c>
      <c r="S40" s="44">
        <v>0</v>
      </c>
      <c r="T40" s="44">
        <v>2</v>
      </c>
      <c r="U40" s="44">
        <v>2</v>
      </c>
      <c r="V40" s="44">
        <v>1</v>
      </c>
      <c r="W40" s="45">
        <v>0.5</v>
      </c>
      <c r="X40" s="45">
        <v>0.5</v>
      </c>
      <c r="Y40" s="112"/>
      <c r="Z40" s="113"/>
      <c r="AA40" s="112"/>
      <c r="AB40" s="116" t="s">
        <v>3294</v>
      </c>
      <c r="AC40" s="116" t="s">
        <v>1384</v>
      </c>
      <c r="AD40" s="112"/>
      <c r="AE40" s="112"/>
      <c r="AF40" s="112" t="s">
        <v>3385</v>
      </c>
      <c r="AG40" s="44">
        <v>5</v>
      </c>
      <c r="AH40" s="45">
        <v>9.803921568627452</v>
      </c>
      <c r="AI40" s="44">
        <v>2</v>
      </c>
      <c r="AJ40" s="45">
        <v>3.9215686274509802</v>
      </c>
      <c r="AK40" s="44">
        <v>0</v>
      </c>
      <c r="AL40" s="45">
        <v>0</v>
      </c>
      <c r="AM40" s="44">
        <v>44</v>
      </c>
      <c r="AN40" s="45">
        <v>86.27450980392157</v>
      </c>
      <c r="AO40" s="44">
        <v>51</v>
      </c>
    </row>
    <row r="41" spans="1:41" ht="15">
      <c r="A41" s="105" t="s">
        <v>3494</v>
      </c>
      <c r="B41" s="60" t="s">
        <v>3217</v>
      </c>
      <c r="C41" s="60" t="s">
        <v>63</v>
      </c>
      <c r="D41" s="128"/>
      <c r="E41" s="11"/>
      <c r="F41" s="12"/>
      <c r="G41" s="58"/>
      <c r="H41" s="58"/>
      <c r="I41" s="111">
        <v>41</v>
      </c>
      <c r="J41" s="119"/>
      <c r="K41" s="44">
        <v>2</v>
      </c>
      <c r="L41" s="44">
        <v>2</v>
      </c>
      <c r="M41" s="44">
        <v>0</v>
      </c>
      <c r="N41" s="44">
        <v>2</v>
      </c>
      <c r="O41" s="44">
        <v>1</v>
      </c>
      <c r="P41" s="45">
        <v>0</v>
      </c>
      <c r="Q41" s="45">
        <v>0</v>
      </c>
      <c r="R41" s="44">
        <v>1</v>
      </c>
      <c r="S41" s="44">
        <v>0</v>
      </c>
      <c r="T41" s="44">
        <v>2</v>
      </c>
      <c r="U41" s="44">
        <v>2</v>
      </c>
      <c r="V41" s="44">
        <v>1</v>
      </c>
      <c r="W41" s="45">
        <v>0.5</v>
      </c>
      <c r="X41" s="45">
        <v>0.5</v>
      </c>
      <c r="Y41" s="112"/>
      <c r="Z41" s="113"/>
      <c r="AA41" s="112" t="s">
        <v>683</v>
      </c>
      <c r="AB41" s="116" t="s">
        <v>3297</v>
      </c>
      <c r="AC41" s="116" t="s">
        <v>3335</v>
      </c>
      <c r="AD41" s="112" t="s">
        <v>271</v>
      </c>
      <c r="AE41" s="112"/>
      <c r="AF41" s="112" t="s">
        <v>3397</v>
      </c>
      <c r="AG41" s="44">
        <v>7</v>
      </c>
      <c r="AH41" s="45">
        <v>41.1764705882353</v>
      </c>
      <c r="AI41" s="44">
        <v>1</v>
      </c>
      <c r="AJ41" s="45">
        <v>5.882352941176471</v>
      </c>
      <c r="AK41" s="44">
        <v>0</v>
      </c>
      <c r="AL41" s="45">
        <v>0</v>
      </c>
      <c r="AM41" s="44">
        <v>9</v>
      </c>
      <c r="AN41" s="45">
        <v>52.94117647058823</v>
      </c>
      <c r="AO41" s="44">
        <v>17</v>
      </c>
    </row>
    <row r="42" spans="1:41" ht="15">
      <c r="A42" s="105" t="s">
        <v>3495</v>
      </c>
      <c r="B42" s="60" t="s">
        <v>3218</v>
      </c>
      <c r="C42" s="60" t="s">
        <v>63</v>
      </c>
      <c r="D42" s="128"/>
      <c r="E42" s="11"/>
      <c r="F42" s="12"/>
      <c r="G42" s="58"/>
      <c r="H42" s="58"/>
      <c r="I42" s="111">
        <v>42</v>
      </c>
      <c r="J42" s="119"/>
      <c r="K42" s="44">
        <v>2</v>
      </c>
      <c r="L42" s="44">
        <v>2</v>
      </c>
      <c r="M42" s="44">
        <v>0</v>
      </c>
      <c r="N42" s="44">
        <v>2</v>
      </c>
      <c r="O42" s="44">
        <v>1</v>
      </c>
      <c r="P42" s="45">
        <v>0</v>
      </c>
      <c r="Q42" s="45">
        <v>0</v>
      </c>
      <c r="R42" s="44">
        <v>1</v>
      </c>
      <c r="S42" s="44">
        <v>0</v>
      </c>
      <c r="T42" s="44">
        <v>2</v>
      </c>
      <c r="U42" s="44">
        <v>2</v>
      </c>
      <c r="V42" s="44">
        <v>1</v>
      </c>
      <c r="W42" s="45">
        <v>0.5</v>
      </c>
      <c r="X42" s="45">
        <v>0.5</v>
      </c>
      <c r="Y42" s="112" t="s">
        <v>2351</v>
      </c>
      <c r="Z42" s="113"/>
      <c r="AA42" s="112"/>
      <c r="AB42" s="116" t="s">
        <v>3490</v>
      </c>
      <c r="AC42" s="116" t="s">
        <v>1384</v>
      </c>
      <c r="AD42" s="112"/>
      <c r="AE42" s="112"/>
      <c r="AF42" s="112" t="s">
        <v>3389</v>
      </c>
      <c r="AG42" s="44">
        <v>7</v>
      </c>
      <c r="AH42" s="45">
        <v>13.461538461538462</v>
      </c>
      <c r="AI42" s="44">
        <v>0</v>
      </c>
      <c r="AJ42" s="45">
        <v>0</v>
      </c>
      <c r="AK42" s="44">
        <v>0</v>
      </c>
      <c r="AL42" s="45">
        <v>0</v>
      </c>
      <c r="AM42" s="44">
        <v>45</v>
      </c>
      <c r="AN42" s="45">
        <v>86.53846153846153</v>
      </c>
      <c r="AO42" s="44">
        <v>52</v>
      </c>
    </row>
    <row r="43" spans="1:41" ht="15">
      <c r="A43" s="105" t="s">
        <v>3496</v>
      </c>
      <c r="B43" s="60" t="s">
        <v>3219</v>
      </c>
      <c r="C43" s="60" t="s">
        <v>63</v>
      </c>
      <c r="D43" s="128"/>
      <c r="E43" s="11"/>
      <c r="F43" s="12"/>
      <c r="G43" s="58"/>
      <c r="H43" s="58"/>
      <c r="I43" s="111">
        <v>43</v>
      </c>
      <c r="J43" s="119"/>
      <c r="K43" s="44">
        <v>2</v>
      </c>
      <c r="L43" s="44">
        <v>3</v>
      </c>
      <c r="M43" s="44">
        <v>0</v>
      </c>
      <c r="N43" s="44">
        <v>3</v>
      </c>
      <c r="O43" s="44">
        <v>2</v>
      </c>
      <c r="P43" s="45">
        <v>0</v>
      </c>
      <c r="Q43" s="45">
        <v>0</v>
      </c>
      <c r="R43" s="44">
        <v>1</v>
      </c>
      <c r="S43" s="44">
        <v>0</v>
      </c>
      <c r="T43" s="44">
        <v>2</v>
      </c>
      <c r="U43" s="44">
        <v>3</v>
      </c>
      <c r="V43" s="44">
        <v>1</v>
      </c>
      <c r="W43" s="45">
        <v>0.5</v>
      </c>
      <c r="X43" s="45">
        <v>0.5</v>
      </c>
      <c r="Y43" s="112" t="s">
        <v>2357</v>
      </c>
      <c r="Z43" s="113"/>
      <c r="AA43" s="112" t="s">
        <v>686</v>
      </c>
      <c r="AB43" s="116" t="s">
        <v>3407</v>
      </c>
      <c r="AC43" s="116" t="s">
        <v>3334</v>
      </c>
      <c r="AD43" s="112"/>
      <c r="AE43" s="112"/>
      <c r="AF43" s="112" t="s">
        <v>3396</v>
      </c>
      <c r="AG43" s="44">
        <v>11</v>
      </c>
      <c r="AH43" s="45">
        <v>16.176470588235293</v>
      </c>
      <c r="AI43" s="44">
        <v>1</v>
      </c>
      <c r="AJ43" s="45">
        <v>1.4705882352941178</v>
      </c>
      <c r="AK43" s="44">
        <v>0</v>
      </c>
      <c r="AL43" s="45">
        <v>0</v>
      </c>
      <c r="AM43" s="44">
        <v>56</v>
      </c>
      <c r="AN43" s="45">
        <v>82.3529411764706</v>
      </c>
      <c r="AO43" s="44">
        <v>68</v>
      </c>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8"/>
  <sheetViews>
    <sheetView workbookViewId="0" topLeftCell="A13">
      <selection activeCell="F5" sqref="F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143</v>
      </c>
      <c r="B1" s="10" t="s">
        <v>5</v>
      </c>
      <c r="C1" s="10" t="s">
        <v>146</v>
      </c>
    </row>
    <row r="2" spans="1:3" ht="15">
      <c r="A2" s="112" t="s">
        <v>3178</v>
      </c>
      <c r="B2" s="116" t="s">
        <v>437</v>
      </c>
      <c r="C2" s="112">
        <f>VLOOKUP("~"&amp;GroupVertices[[#This Row],[Vertex]],Vertices[],MATCH("ID",Vertices[[#Headers],[Vertex]:[Hashtags in Tweet by Salience]],0),FALSE)</f>
        <v>97</v>
      </c>
    </row>
    <row r="3" spans="1:3" ht="15">
      <c r="A3" s="113" t="s">
        <v>3178</v>
      </c>
      <c r="B3" s="116" t="s">
        <v>438</v>
      </c>
      <c r="C3" s="112">
        <f>VLOOKUP("~"&amp;GroupVertices[[#This Row],[Vertex]],Vertices[],MATCH("ID",Vertices[[#Headers],[Vertex]:[Hashtags in Tweet by Salience]],0),FALSE)</f>
        <v>114</v>
      </c>
    </row>
    <row r="4" spans="1:3" ht="15">
      <c r="A4" s="113" t="s">
        <v>3178</v>
      </c>
      <c r="B4" s="116" t="s">
        <v>441</v>
      </c>
      <c r="C4" s="112">
        <f>VLOOKUP("~"&amp;GroupVertices[[#This Row],[Vertex]],Vertices[],MATCH("ID",Vertices[[#Headers],[Vertex]:[Hashtags in Tweet by Salience]],0),FALSE)</f>
        <v>81</v>
      </c>
    </row>
    <row r="5" spans="1:3" ht="15">
      <c r="A5" s="113" t="s">
        <v>3178</v>
      </c>
      <c r="B5" s="116" t="s">
        <v>443</v>
      </c>
      <c r="C5" s="112">
        <f>VLOOKUP("~"&amp;GroupVertices[[#This Row],[Vertex]],Vertices[],MATCH("ID",Vertices[[#Headers],[Vertex]:[Hashtags in Tweet by Salience]],0),FALSE)</f>
        <v>90</v>
      </c>
    </row>
    <row r="6" spans="1:3" ht="15">
      <c r="A6" s="113" t="s">
        <v>3178</v>
      </c>
      <c r="B6" s="116" t="s">
        <v>445</v>
      </c>
      <c r="C6" s="112">
        <f>VLOOKUP("~"&amp;GroupVertices[[#This Row],[Vertex]],Vertices[],MATCH("ID",Vertices[[#Headers],[Vertex]:[Hashtags in Tweet by Salience]],0),FALSE)</f>
        <v>106</v>
      </c>
    </row>
    <row r="7" spans="1:3" ht="15">
      <c r="A7" s="113" t="s">
        <v>3178</v>
      </c>
      <c r="B7" s="116" t="s">
        <v>452</v>
      </c>
      <c r="C7" s="112">
        <f>VLOOKUP("~"&amp;GroupVertices[[#This Row],[Vertex]],Vertices[],MATCH("ID",Vertices[[#Headers],[Vertex]:[Hashtags in Tweet by Salience]],0),FALSE)</f>
        <v>94</v>
      </c>
    </row>
    <row r="8" spans="1:3" ht="15">
      <c r="A8" s="113" t="s">
        <v>3178</v>
      </c>
      <c r="B8" s="116" t="s">
        <v>455</v>
      </c>
      <c r="C8" s="112">
        <f>VLOOKUP("~"&amp;GroupVertices[[#This Row],[Vertex]],Vertices[],MATCH("ID",Vertices[[#Headers],[Vertex]:[Hashtags in Tweet by Salience]],0),FALSE)</f>
        <v>99</v>
      </c>
    </row>
    <row r="9" spans="1:3" ht="15">
      <c r="A9" s="113" t="s">
        <v>3178</v>
      </c>
      <c r="B9" s="116" t="s">
        <v>457</v>
      </c>
      <c r="C9" s="112">
        <f>VLOOKUP("~"&amp;GroupVertices[[#This Row],[Vertex]],Vertices[],MATCH("ID",Vertices[[#Headers],[Vertex]:[Hashtags in Tweet by Salience]],0),FALSE)</f>
        <v>87</v>
      </c>
    </row>
    <row r="10" spans="1:3" ht="15">
      <c r="A10" s="113" t="s">
        <v>3178</v>
      </c>
      <c r="B10" s="116" t="s">
        <v>461</v>
      </c>
      <c r="C10" s="112">
        <f>VLOOKUP("~"&amp;GroupVertices[[#This Row],[Vertex]],Vertices[],MATCH("ID",Vertices[[#Headers],[Vertex]:[Hashtags in Tweet by Salience]],0),FALSE)</f>
        <v>84</v>
      </c>
    </row>
    <row r="11" spans="1:3" ht="15">
      <c r="A11" s="113" t="s">
        <v>3178</v>
      </c>
      <c r="B11" s="116" t="s">
        <v>449</v>
      </c>
      <c r="C11" s="112">
        <f>VLOOKUP("~"&amp;GroupVertices[[#This Row],[Vertex]],Vertices[],MATCH("ID",Vertices[[#Headers],[Vertex]:[Hashtags in Tweet by Salience]],0),FALSE)</f>
        <v>115</v>
      </c>
    </row>
    <row r="12" spans="1:3" ht="15">
      <c r="A12" s="113" t="s">
        <v>3178</v>
      </c>
      <c r="B12" s="116" t="s">
        <v>434</v>
      </c>
      <c r="C12" s="112">
        <f>VLOOKUP("~"&amp;GroupVertices[[#This Row],[Vertex]],Vertices[],MATCH("ID",Vertices[[#Headers],[Vertex]:[Hashtags in Tweet by Salience]],0),FALSE)</f>
        <v>105</v>
      </c>
    </row>
    <row r="13" spans="1:3" ht="15">
      <c r="A13" s="113" t="s">
        <v>3178</v>
      </c>
      <c r="B13" s="116" t="s">
        <v>451</v>
      </c>
      <c r="C13" s="112">
        <f>VLOOKUP("~"&amp;GroupVertices[[#This Row],[Vertex]],Vertices[],MATCH("ID",Vertices[[#Headers],[Vertex]:[Hashtags in Tweet by Salience]],0),FALSE)</f>
        <v>112</v>
      </c>
    </row>
    <row r="14" spans="1:3" ht="15">
      <c r="A14" s="113" t="s">
        <v>3178</v>
      </c>
      <c r="B14" s="116" t="s">
        <v>432</v>
      </c>
      <c r="C14" s="112">
        <f>VLOOKUP("~"&amp;GroupVertices[[#This Row],[Vertex]],Vertices[],MATCH("ID",Vertices[[#Headers],[Vertex]:[Hashtags in Tweet by Salience]],0),FALSE)</f>
        <v>108</v>
      </c>
    </row>
    <row r="15" spans="1:3" ht="15">
      <c r="A15" s="113" t="s">
        <v>3178</v>
      </c>
      <c r="B15" s="116" t="s">
        <v>436</v>
      </c>
      <c r="C15" s="112">
        <f>VLOOKUP("~"&amp;GroupVertices[[#This Row],[Vertex]],Vertices[],MATCH("ID",Vertices[[#Headers],[Vertex]:[Hashtags in Tweet by Salience]],0),FALSE)</f>
        <v>82</v>
      </c>
    </row>
    <row r="16" spans="1:3" ht="15">
      <c r="A16" s="113" t="s">
        <v>3178</v>
      </c>
      <c r="B16" s="116" t="s">
        <v>428</v>
      </c>
      <c r="C16" s="112">
        <f>VLOOKUP("~"&amp;GroupVertices[[#This Row],[Vertex]],Vertices[],MATCH("ID",Vertices[[#Headers],[Vertex]:[Hashtags in Tweet by Salience]],0),FALSE)</f>
        <v>109</v>
      </c>
    </row>
    <row r="17" spans="1:3" ht="15">
      <c r="A17" s="113" t="s">
        <v>3178</v>
      </c>
      <c r="B17" s="116" t="s">
        <v>446</v>
      </c>
      <c r="C17" s="112">
        <f>VLOOKUP("~"&amp;GroupVertices[[#This Row],[Vertex]],Vertices[],MATCH("ID",Vertices[[#Headers],[Vertex]:[Hashtags in Tweet by Salience]],0),FALSE)</f>
        <v>95</v>
      </c>
    </row>
    <row r="18" spans="1:3" ht="15">
      <c r="A18" s="113" t="s">
        <v>3178</v>
      </c>
      <c r="B18" s="116" t="s">
        <v>442</v>
      </c>
      <c r="C18" s="112">
        <f>VLOOKUP("~"&amp;GroupVertices[[#This Row],[Vertex]],Vertices[],MATCH("ID",Vertices[[#Headers],[Vertex]:[Hashtags in Tweet by Salience]],0),FALSE)</f>
        <v>102</v>
      </c>
    </row>
    <row r="19" spans="1:3" ht="15">
      <c r="A19" s="113" t="s">
        <v>3178</v>
      </c>
      <c r="B19" s="116" t="s">
        <v>447</v>
      </c>
      <c r="C19" s="112">
        <f>VLOOKUP("~"&amp;GroupVertices[[#This Row],[Vertex]],Vertices[],MATCH("ID",Vertices[[#Headers],[Vertex]:[Hashtags in Tweet by Salience]],0),FALSE)</f>
        <v>96</v>
      </c>
    </row>
    <row r="20" spans="1:3" ht="15">
      <c r="A20" s="113" t="s">
        <v>3178</v>
      </c>
      <c r="B20" s="116" t="s">
        <v>427</v>
      </c>
      <c r="C20" s="112">
        <f>VLOOKUP("~"&amp;GroupVertices[[#This Row],[Vertex]],Vertices[],MATCH("ID",Vertices[[#Headers],[Vertex]:[Hashtags in Tweet by Salience]],0),FALSE)</f>
        <v>113</v>
      </c>
    </row>
    <row r="21" spans="1:3" ht="15">
      <c r="A21" s="113" t="s">
        <v>3178</v>
      </c>
      <c r="B21" s="116" t="s">
        <v>454</v>
      </c>
      <c r="C21" s="112">
        <f>VLOOKUP("~"&amp;GroupVertices[[#This Row],[Vertex]],Vertices[],MATCH("ID",Vertices[[#Headers],[Vertex]:[Hashtags in Tweet by Salience]],0),FALSE)</f>
        <v>98</v>
      </c>
    </row>
    <row r="22" spans="1:3" ht="15">
      <c r="A22" s="113" t="s">
        <v>3178</v>
      </c>
      <c r="B22" s="116" t="s">
        <v>435</v>
      </c>
      <c r="C22" s="112">
        <f>VLOOKUP("~"&amp;GroupVertices[[#This Row],[Vertex]],Vertices[],MATCH("ID",Vertices[[#Headers],[Vertex]:[Hashtags in Tweet by Salience]],0),FALSE)</f>
        <v>92</v>
      </c>
    </row>
    <row r="23" spans="1:3" ht="15">
      <c r="A23" s="113" t="s">
        <v>3178</v>
      </c>
      <c r="B23" s="116" t="s">
        <v>429</v>
      </c>
      <c r="C23" s="112">
        <f>VLOOKUP("~"&amp;GroupVertices[[#This Row],[Vertex]],Vertices[],MATCH("ID",Vertices[[#Headers],[Vertex]:[Hashtags in Tweet by Salience]],0),FALSE)</f>
        <v>80</v>
      </c>
    </row>
    <row r="24" spans="1:3" ht="15">
      <c r="A24" s="113" t="s">
        <v>3178</v>
      </c>
      <c r="B24" s="116" t="s">
        <v>440</v>
      </c>
      <c r="C24" s="112">
        <f>VLOOKUP("~"&amp;GroupVertices[[#This Row],[Vertex]],Vertices[],MATCH("ID",Vertices[[#Headers],[Vertex]:[Hashtags in Tweet by Salience]],0),FALSE)</f>
        <v>86</v>
      </c>
    </row>
    <row r="25" spans="1:3" ht="15">
      <c r="A25" s="113" t="s">
        <v>3178</v>
      </c>
      <c r="B25" s="116" t="s">
        <v>448</v>
      </c>
      <c r="C25" s="112">
        <f>VLOOKUP("~"&amp;GroupVertices[[#This Row],[Vertex]],Vertices[],MATCH("ID",Vertices[[#Headers],[Vertex]:[Hashtags in Tweet by Salience]],0),FALSE)</f>
        <v>100</v>
      </c>
    </row>
    <row r="26" spans="1:3" ht="15">
      <c r="A26" s="113" t="s">
        <v>3178</v>
      </c>
      <c r="B26" s="116" t="s">
        <v>450</v>
      </c>
      <c r="C26" s="112">
        <f>VLOOKUP("~"&amp;GroupVertices[[#This Row],[Vertex]],Vertices[],MATCH("ID",Vertices[[#Headers],[Vertex]:[Hashtags in Tweet by Salience]],0),FALSE)</f>
        <v>91</v>
      </c>
    </row>
    <row r="27" spans="1:3" ht="15">
      <c r="A27" s="113" t="s">
        <v>3178</v>
      </c>
      <c r="B27" s="116" t="s">
        <v>453</v>
      </c>
      <c r="C27" s="112">
        <f>VLOOKUP("~"&amp;GroupVertices[[#This Row],[Vertex]],Vertices[],MATCH("ID",Vertices[[#Headers],[Vertex]:[Hashtags in Tweet by Salience]],0),FALSE)</f>
        <v>83</v>
      </c>
    </row>
    <row r="28" spans="1:3" ht="15">
      <c r="A28" s="113" t="s">
        <v>3178</v>
      </c>
      <c r="B28" s="116" t="s">
        <v>456</v>
      </c>
      <c r="C28" s="112">
        <f>VLOOKUP("~"&amp;GroupVertices[[#This Row],[Vertex]],Vertices[],MATCH("ID",Vertices[[#Headers],[Vertex]:[Hashtags in Tweet by Salience]],0),FALSE)</f>
        <v>89</v>
      </c>
    </row>
    <row r="29" spans="1:3" ht="15">
      <c r="A29" s="113" t="s">
        <v>3178</v>
      </c>
      <c r="B29" s="116" t="s">
        <v>433</v>
      </c>
      <c r="C29" s="112">
        <f>VLOOKUP("~"&amp;GroupVertices[[#This Row],[Vertex]],Vertices[],MATCH("ID",Vertices[[#Headers],[Vertex]:[Hashtags in Tweet by Salience]],0),FALSE)</f>
        <v>107</v>
      </c>
    </row>
    <row r="30" spans="1:3" ht="15">
      <c r="A30" s="113" t="s">
        <v>3178</v>
      </c>
      <c r="B30" s="116" t="s">
        <v>458</v>
      </c>
      <c r="C30" s="112">
        <f>VLOOKUP("~"&amp;GroupVertices[[#This Row],[Vertex]],Vertices[],MATCH("ID",Vertices[[#Headers],[Vertex]:[Hashtags in Tweet by Salience]],0),FALSE)</f>
        <v>103</v>
      </c>
    </row>
    <row r="31" spans="1:3" ht="15">
      <c r="A31" s="113" t="s">
        <v>3178</v>
      </c>
      <c r="B31" s="116" t="s">
        <v>459</v>
      </c>
      <c r="C31" s="112">
        <f>VLOOKUP("~"&amp;GroupVertices[[#This Row],[Vertex]],Vertices[],MATCH("ID",Vertices[[#Headers],[Vertex]:[Hashtags in Tweet by Salience]],0),FALSE)</f>
        <v>111</v>
      </c>
    </row>
    <row r="32" spans="1:3" ht="15">
      <c r="A32" s="113" t="s">
        <v>3178</v>
      </c>
      <c r="B32" s="116" t="s">
        <v>460</v>
      </c>
      <c r="C32" s="112">
        <f>VLOOKUP("~"&amp;GroupVertices[[#This Row],[Vertex]],Vertices[],MATCH("ID",Vertices[[#Headers],[Vertex]:[Hashtags in Tweet by Salience]],0),FALSE)</f>
        <v>88</v>
      </c>
    </row>
    <row r="33" spans="1:3" ht="15">
      <c r="A33" s="113" t="s">
        <v>3178</v>
      </c>
      <c r="B33" s="116" t="s">
        <v>439</v>
      </c>
      <c r="C33" s="112">
        <f>VLOOKUP("~"&amp;GroupVertices[[#This Row],[Vertex]],Vertices[],MATCH("ID",Vertices[[#Headers],[Vertex]:[Hashtags in Tweet by Salience]],0),FALSE)</f>
        <v>101</v>
      </c>
    </row>
    <row r="34" spans="1:3" ht="15">
      <c r="A34" s="113" t="s">
        <v>3178</v>
      </c>
      <c r="B34" s="116" t="s">
        <v>426</v>
      </c>
      <c r="C34" s="112">
        <f>VLOOKUP("~"&amp;GroupVertices[[#This Row],[Vertex]],Vertices[],MATCH("ID",Vertices[[#Headers],[Vertex]:[Hashtags in Tweet by Salience]],0),FALSE)</f>
        <v>104</v>
      </c>
    </row>
    <row r="35" spans="1:3" ht="15">
      <c r="A35" s="113" t="s">
        <v>3178</v>
      </c>
      <c r="B35" s="116" t="s">
        <v>444</v>
      </c>
      <c r="C35" s="112">
        <f>VLOOKUP("~"&amp;GroupVertices[[#This Row],[Vertex]],Vertices[],MATCH("ID",Vertices[[#Headers],[Vertex]:[Hashtags in Tweet by Salience]],0),FALSE)</f>
        <v>110</v>
      </c>
    </row>
    <row r="36" spans="1:3" ht="15">
      <c r="A36" s="113" t="s">
        <v>3178</v>
      </c>
      <c r="B36" s="116" t="s">
        <v>290</v>
      </c>
      <c r="C36" s="112">
        <f>VLOOKUP("~"&amp;GroupVertices[[#This Row],[Vertex]],Vertices[],MATCH("ID",Vertices[[#Headers],[Vertex]:[Hashtags in Tweet by Salience]],0),FALSE)</f>
        <v>204</v>
      </c>
    </row>
    <row r="37" spans="1:3" ht="15">
      <c r="A37" s="113" t="s">
        <v>3178</v>
      </c>
      <c r="B37" s="116" t="s">
        <v>430</v>
      </c>
      <c r="C37" s="112">
        <f>VLOOKUP("~"&amp;GroupVertices[[#This Row],[Vertex]],Vertices[],MATCH("ID",Vertices[[#Headers],[Vertex]:[Hashtags in Tweet by Salience]],0),FALSE)</f>
        <v>85</v>
      </c>
    </row>
    <row r="38" spans="1:3" ht="15">
      <c r="A38" s="113" t="s">
        <v>3178</v>
      </c>
      <c r="B38" s="116" t="s">
        <v>431</v>
      </c>
      <c r="C38" s="112">
        <f>VLOOKUP("~"&amp;GroupVertices[[#This Row],[Vertex]],Vertices[],MATCH("ID",Vertices[[#Headers],[Vertex]:[Hashtags in Tweet by Salience]],0),FALSE)</f>
        <v>93</v>
      </c>
    </row>
    <row r="39" spans="1:3" ht="15">
      <c r="A39" s="113" t="s">
        <v>3179</v>
      </c>
      <c r="B39" s="116" t="s">
        <v>408</v>
      </c>
      <c r="C39" s="112">
        <f>VLOOKUP("~"&amp;GroupVertices[[#This Row],[Vertex]],Vertices[],MATCH("ID",Vertices[[#Headers],[Vertex]:[Hashtags in Tweet by Salience]],0),FALSE)</f>
        <v>48</v>
      </c>
    </row>
    <row r="40" spans="1:3" ht="15">
      <c r="A40" s="113" t="s">
        <v>3179</v>
      </c>
      <c r="B40" s="116" t="s">
        <v>410</v>
      </c>
      <c r="C40" s="112">
        <f>VLOOKUP("~"&amp;GroupVertices[[#This Row],[Vertex]],Vertices[],MATCH("ID",Vertices[[#Headers],[Vertex]:[Hashtags in Tweet by Salience]],0),FALSE)</f>
        <v>58</v>
      </c>
    </row>
    <row r="41" spans="1:3" ht="15">
      <c r="A41" s="113" t="s">
        <v>3179</v>
      </c>
      <c r="B41" s="116" t="s">
        <v>418</v>
      </c>
      <c r="C41" s="112">
        <f>VLOOKUP("~"&amp;GroupVertices[[#This Row],[Vertex]],Vertices[],MATCH("ID",Vertices[[#Headers],[Vertex]:[Hashtags in Tweet by Salience]],0),FALSE)</f>
        <v>49</v>
      </c>
    </row>
    <row r="42" spans="1:3" ht="15">
      <c r="A42" s="113" t="s">
        <v>3179</v>
      </c>
      <c r="B42" s="116" t="s">
        <v>422</v>
      </c>
      <c r="C42" s="112">
        <f>VLOOKUP("~"&amp;GroupVertices[[#This Row],[Vertex]],Vertices[],MATCH("ID",Vertices[[#Headers],[Vertex]:[Hashtags in Tweet by Salience]],0),FALSE)</f>
        <v>55</v>
      </c>
    </row>
    <row r="43" spans="1:3" ht="15">
      <c r="A43" s="113" t="s">
        <v>3179</v>
      </c>
      <c r="B43" s="116" t="s">
        <v>421</v>
      </c>
      <c r="C43" s="112">
        <f>VLOOKUP("~"&amp;GroupVertices[[#This Row],[Vertex]],Vertices[],MATCH("ID",Vertices[[#Headers],[Vertex]:[Hashtags in Tweet by Salience]],0),FALSE)</f>
        <v>61</v>
      </c>
    </row>
    <row r="44" spans="1:3" ht="15">
      <c r="A44" s="113" t="s">
        <v>3179</v>
      </c>
      <c r="B44" s="116" t="s">
        <v>284</v>
      </c>
      <c r="C44" s="112">
        <f>VLOOKUP("~"&amp;GroupVertices[[#This Row],[Vertex]],Vertices[],MATCH("ID",Vertices[[#Headers],[Vertex]:[Hashtags in Tweet by Salience]],0),FALSE)</f>
        <v>193</v>
      </c>
    </row>
    <row r="45" spans="1:3" ht="15">
      <c r="A45" s="113" t="s">
        <v>3179</v>
      </c>
      <c r="B45" s="116" t="s">
        <v>407</v>
      </c>
      <c r="C45" s="112">
        <f>VLOOKUP("~"&amp;GroupVertices[[#This Row],[Vertex]],Vertices[],MATCH("ID",Vertices[[#Headers],[Vertex]:[Hashtags in Tweet by Salience]],0),FALSE)</f>
        <v>59</v>
      </c>
    </row>
    <row r="46" spans="1:3" ht="15">
      <c r="A46" s="113" t="s">
        <v>3179</v>
      </c>
      <c r="B46" s="116" t="s">
        <v>409</v>
      </c>
      <c r="C46" s="112">
        <f>VLOOKUP("~"&amp;GroupVertices[[#This Row],[Vertex]],Vertices[],MATCH("ID",Vertices[[#Headers],[Vertex]:[Hashtags in Tweet by Salience]],0),FALSE)</f>
        <v>47</v>
      </c>
    </row>
    <row r="47" spans="1:3" ht="15">
      <c r="A47" s="113" t="s">
        <v>3179</v>
      </c>
      <c r="B47" s="116" t="s">
        <v>411</v>
      </c>
      <c r="C47" s="112">
        <f>VLOOKUP("~"&amp;GroupVertices[[#This Row],[Vertex]],Vertices[],MATCH("ID",Vertices[[#Headers],[Vertex]:[Hashtags in Tweet by Salience]],0),FALSE)</f>
        <v>62</v>
      </c>
    </row>
    <row r="48" spans="1:3" ht="15">
      <c r="A48" s="113" t="s">
        <v>3179</v>
      </c>
      <c r="B48" s="116" t="s">
        <v>412</v>
      </c>
      <c r="C48" s="112">
        <f>VLOOKUP("~"&amp;GroupVertices[[#This Row],[Vertex]],Vertices[],MATCH("ID",Vertices[[#Headers],[Vertex]:[Hashtags in Tweet by Salience]],0),FALSE)</f>
        <v>57</v>
      </c>
    </row>
    <row r="49" spans="1:3" ht="15">
      <c r="A49" s="113" t="s">
        <v>3179</v>
      </c>
      <c r="B49" s="116" t="s">
        <v>413</v>
      </c>
      <c r="C49" s="112">
        <f>VLOOKUP("~"&amp;GroupVertices[[#This Row],[Vertex]],Vertices[],MATCH("ID",Vertices[[#Headers],[Vertex]:[Hashtags in Tweet by Salience]],0),FALSE)</f>
        <v>54</v>
      </c>
    </row>
    <row r="50" spans="1:3" ht="15">
      <c r="A50" s="113" t="s">
        <v>3179</v>
      </c>
      <c r="B50" s="116" t="s">
        <v>414</v>
      </c>
      <c r="C50" s="112">
        <f>VLOOKUP("~"&amp;GroupVertices[[#This Row],[Vertex]],Vertices[],MATCH("ID",Vertices[[#Headers],[Vertex]:[Hashtags in Tweet by Salience]],0),FALSE)</f>
        <v>64</v>
      </c>
    </row>
    <row r="51" spans="1:3" ht="15">
      <c r="A51" s="113" t="s">
        <v>3179</v>
      </c>
      <c r="B51" s="116" t="s">
        <v>415</v>
      </c>
      <c r="C51" s="112">
        <f>VLOOKUP("~"&amp;GroupVertices[[#This Row],[Vertex]],Vertices[],MATCH("ID",Vertices[[#Headers],[Vertex]:[Hashtags in Tweet by Salience]],0),FALSE)</f>
        <v>63</v>
      </c>
    </row>
    <row r="52" spans="1:3" ht="15">
      <c r="A52" s="113" t="s">
        <v>3179</v>
      </c>
      <c r="B52" s="116" t="s">
        <v>416</v>
      </c>
      <c r="C52" s="112">
        <f>VLOOKUP("~"&amp;GroupVertices[[#This Row],[Vertex]],Vertices[],MATCH("ID",Vertices[[#Headers],[Vertex]:[Hashtags in Tweet by Salience]],0),FALSE)</f>
        <v>50</v>
      </c>
    </row>
    <row r="53" spans="1:3" ht="15">
      <c r="A53" s="113" t="s">
        <v>3179</v>
      </c>
      <c r="B53" s="116" t="s">
        <v>417</v>
      </c>
      <c r="C53" s="112">
        <f>VLOOKUP("~"&amp;GroupVertices[[#This Row],[Vertex]],Vertices[],MATCH("ID",Vertices[[#Headers],[Vertex]:[Hashtags in Tweet by Salience]],0),FALSE)</f>
        <v>56</v>
      </c>
    </row>
    <row r="54" spans="1:3" ht="15">
      <c r="A54" s="113" t="s">
        <v>3179</v>
      </c>
      <c r="B54" s="116" t="s">
        <v>419</v>
      </c>
      <c r="C54" s="112">
        <f>VLOOKUP("~"&amp;GroupVertices[[#This Row],[Vertex]],Vertices[],MATCH("ID",Vertices[[#Headers],[Vertex]:[Hashtags in Tweet by Salience]],0),FALSE)</f>
        <v>53</v>
      </c>
    </row>
    <row r="55" spans="1:3" ht="15">
      <c r="A55" s="113" t="s">
        <v>3179</v>
      </c>
      <c r="B55" s="116" t="s">
        <v>420</v>
      </c>
      <c r="C55" s="112">
        <f>VLOOKUP("~"&amp;GroupVertices[[#This Row],[Vertex]],Vertices[],MATCH("ID",Vertices[[#Headers],[Vertex]:[Hashtags in Tweet by Salience]],0),FALSE)</f>
        <v>51</v>
      </c>
    </row>
    <row r="56" spans="1:3" ht="15">
      <c r="A56" s="113" t="s">
        <v>3179</v>
      </c>
      <c r="B56" s="116" t="s">
        <v>423</v>
      </c>
      <c r="C56" s="112">
        <f>VLOOKUP("~"&amp;GroupVertices[[#This Row],[Vertex]],Vertices[],MATCH("ID",Vertices[[#Headers],[Vertex]:[Hashtags in Tweet by Salience]],0),FALSE)</f>
        <v>60</v>
      </c>
    </row>
    <row r="57" spans="1:3" ht="15">
      <c r="A57" s="113" t="s">
        <v>3179</v>
      </c>
      <c r="B57" s="116" t="s">
        <v>424</v>
      </c>
      <c r="C57" s="112">
        <f>VLOOKUP("~"&amp;GroupVertices[[#This Row],[Vertex]],Vertices[],MATCH("ID",Vertices[[#Headers],[Vertex]:[Hashtags in Tweet by Salience]],0),FALSE)</f>
        <v>52</v>
      </c>
    </row>
    <row r="58" spans="1:3" ht="15">
      <c r="A58" s="113" t="s">
        <v>3180</v>
      </c>
      <c r="B58" s="116" t="s">
        <v>222</v>
      </c>
      <c r="C58" s="112">
        <f>VLOOKUP("~"&amp;GroupVertices[[#This Row],[Vertex]],Vertices[],MATCH("ID",Vertices[[#Headers],[Vertex]:[Hashtags in Tweet by Salience]],0),FALSE)</f>
        <v>176</v>
      </c>
    </row>
    <row r="59" spans="1:3" ht="15">
      <c r="A59" s="113" t="s">
        <v>3180</v>
      </c>
      <c r="B59" s="116" t="s">
        <v>227</v>
      </c>
      <c r="C59" s="112">
        <f>VLOOKUP("~"&amp;GroupVertices[[#This Row],[Vertex]],Vertices[],MATCH("ID",Vertices[[#Headers],[Vertex]:[Hashtags in Tweet by Salience]],0),FALSE)</f>
        <v>183</v>
      </c>
    </row>
    <row r="60" spans="1:3" ht="15">
      <c r="A60" s="113" t="s">
        <v>3180</v>
      </c>
      <c r="B60" s="116" t="s">
        <v>228</v>
      </c>
      <c r="C60" s="112">
        <f>VLOOKUP("~"&amp;GroupVertices[[#This Row],[Vertex]],Vertices[],MATCH("ID",Vertices[[#Headers],[Vertex]:[Hashtags in Tweet by Salience]],0),FALSE)</f>
        <v>177</v>
      </c>
    </row>
    <row r="61" spans="1:3" ht="15">
      <c r="A61" s="113" t="s">
        <v>3180</v>
      </c>
      <c r="B61" s="116" t="s">
        <v>231</v>
      </c>
      <c r="C61" s="112">
        <f>VLOOKUP("~"&amp;GroupVertices[[#This Row],[Vertex]],Vertices[],MATCH("ID",Vertices[[#Headers],[Vertex]:[Hashtags in Tweet by Salience]],0),FALSE)</f>
        <v>191</v>
      </c>
    </row>
    <row r="62" spans="1:3" ht="15">
      <c r="A62" s="113" t="s">
        <v>3180</v>
      </c>
      <c r="B62" s="116" t="s">
        <v>232</v>
      </c>
      <c r="C62" s="112">
        <f>VLOOKUP("~"&amp;GroupVertices[[#This Row],[Vertex]],Vertices[],MATCH("ID",Vertices[[#Headers],[Vertex]:[Hashtags in Tweet by Salience]],0),FALSE)</f>
        <v>186</v>
      </c>
    </row>
    <row r="63" spans="1:3" ht="15">
      <c r="A63" s="113" t="s">
        <v>3180</v>
      </c>
      <c r="B63" s="116" t="s">
        <v>241</v>
      </c>
      <c r="C63" s="112">
        <f>VLOOKUP("~"&amp;GroupVertices[[#This Row],[Vertex]],Vertices[],MATCH("ID",Vertices[[#Headers],[Vertex]:[Hashtags in Tweet by Salience]],0),FALSE)</f>
        <v>184</v>
      </c>
    </row>
    <row r="64" spans="1:3" ht="15">
      <c r="A64" s="113" t="s">
        <v>3180</v>
      </c>
      <c r="B64" s="116" t="s">
        <v>267</v>
      </c>
      <c r="C64" s="112">
        <f>VLOOKUP("~"&amp;GroupVertices[[#This Row],[Vertex]],Vertices[],MATCH("ID",Vertices[[#Headers],[Vertex]:[Hashtags in Tweet by Salience]],0),FALSE)</f>
        <v>190</v>
      </c>
    </row>
    <row r="65" spans="1:3" ht="15">
      <c r="A65" s="113" t="s">
        <v>3180</v>
      </c>
      <c r="B65" s="116" t="s">
        <v>272</v>
      </c>
      <c r="C65" s="112">
        <f>VLOOKUP("~"&amp;GroupVertices[[#This Row],[Vertex]],Vertices[],MATCH("ID",Vertices[[#Headers],[Vertex]:[Hashtags in Tweet by Salience]],0),FALSE)</f>
        <v>188</v>
      </c>
    </row>
    <row r="66" spans="1:3" ht="15">
      <c r="A66" s="113" t="s">
        <v>3180</v>
      </c>
      <c r="B66" s="116" t="s">
        <v>285</v>
      </c>
      <c r="C66" s="112">
        <f>VLOOKUP("~"&amp;GroupVertices[[#This Row],[Vertex]],Vertices[],MATCH("ID",Vertices[[#Headers],[Vertex]:[Hashtags in Tweet by Salience]],0),FALSE)</f>
        <v>185</v>
      </c>
    </row>
    <row r="67" spans="1:3" ht="15">
      <c r="A67" s="113" t="s">
        <v>3180</v>
      </c>
      <c r="B67" s="116" t="s">
        <v>286</v>
      </c>
      <c r="C67" s="112">
        <f>VLOOKUP("~"&amp;GroupVertices[[#This Row],[Vertex]],Vertices[],MATCH("ID",Vertices[[#Headers],[Vertex]:[Hashtags in Tweet by Salience]],0),FALSE)</f>
        <v>174</v>
      </c>
    </row>
    <row r="68" spans="1:3" ht="15">
      <c r="A68" s="113" t="s">
        <v>3180</v>
      </c>
      <c r="B68" s="116" t="s">
        <v>287</v>
      </c>
      <c r="C68" s="112">
        <f>VLOOKUP("~"&amp;GroupVertices[[#This Row],[Vertex]],Vertices[],MATCH("ID",Vertices[[#Headers],[Vertex]:[Hashtags in Tweet by Salience]],0),FALSE)</f>
        <v>175</v>
      </c>
    </row>
    <row r="69" spans="1:3" ht="15">
      <c r="A69" s="113" t="s">
        <v>3180</v>
      </c>
      <c r="B69" s="116" t="s">
        <v>292</v>
      </c>
      <c r="C69" s="112">
        <f>VLOOKUP("~"&amp;GroupVertices[[#This Row],[Vertex]],Vertices[],MATCH("ID",Vertices[[#Headers],[Vertex]:[Hashtags in Tweet by Salience]],0),FALSE)</f>
        <v>187</v>
      </c>
    </row>
    <row r="70" spans="1:3" ht="15">
      <c r="A70" s="113" t="s">
        <v>3180</v>
      </c>
      <c r="B70" s="116" t="s">
        <v>297</v>
      </c>
      <c r="C70" s="112">
        <f>VLOOKUP("~"&amp;GroupVertices[[#This Row],[Vertex]],Vertices[],MATCH("ID",Vertices[[#Headers],[Vertex]:[Hashtags in Tweet by Salience]],0),FALSE)</f>
        <v>180</v>
      </c>
    </row>
    <row r="71" spans="1:3" ht="15">
      <c r="A71" s="113" t="s">
        <v>3180</v>
      </c>
      <c r="B71" s="116" t="s">
        <v>299</v>
      </c>
      <c r="C71" s="112">
        <f>VLOOKUP("~"&amp;GroupVertices[[#This Row],[Vertex]],Vertices[],MATCH("ID",Vertices[[#Headers],[Vertex]:[Hashtags in Tweet by Salience]],0),FALSE)</f>
        <v>182</v>
      </c>
    </row>
    <row r="72" spans="1:3" ht="15">
      <c r="A72" s="113" t="s">
        <v>3180</v>
      </c>
      <c r="B72" s="116" t="s">
        <v>300</v>
      </c>
      <c r="C72" s="112">
        <f>VLOOKUP("~"&amp;GroupVertices[[#This Row],[Vertex]],Vertices[],MATCH("ID",Vertices[[#Headers],[Vertex]:[Hashtags in Tweet by Salience]],0),FALSE)</f>
        <v>189</v>
      </c>
    </row>
    <row r="73" spans="1:3" ht="15">
      <c r="A73" s="113" t="s">
        <v>3180</v>
      </c>
      <c r="B73" s="116" t="s">
        <v>310</v>
      </c>
      <c r="C73" s="112">
        <f>VLOOKUP("~"&amp;GroupVertices[[#This Row],[Vertex]],Vertices[],MATCH("ID",Vertices[[#Headers],[Vertex]:[Hashtags in Tweet by Salience]],0),FALSE)</f>
        <v>181</v>
      </c>
    </row>
    <row r="74" spans="1:3" ht="15">
      <c r="A74" s="113" t="s">
        <v>3180</v>
      </c>
      <c r="B74" s="116" t="s">
        <v>316</v>
      </c>
      <c r="C74" s="112">
        <f>VLOOKUP("~"&amp;GroupVertices[[#This Row],[Vertex]],Vertices[],MATCH("ID",Vertices[[#Headers],[Vertex]:[Hashtags in Tweet by Salience]],0),FALSE)</f>
        <v>179</v>
      </c>
    </row>
    <row r="75" spans="1:3" ht="15">
      <c r="A75" s="113" t="s">
        <v>3180</v>
      </c>
      <c r="B75" s="116" t="s">
        <v>327</v>
      </c>
      <c r="C75" s="112">
        <f>VLOOKUP("~"&amp;GroupVertices[[#This Row],[Vertex]],Vertices[],MATCH("ID",Vertices[[#Headers],[Vertex]:[Hashtags in Tweet by Salience]],0),FALSE)</f>
        <v>178</v>
      </c>
    </row>
    <row r="76" spans="1:3" ht="15">
      <c r="A76" s="113" t="s">
        <v>3181</v>
      </c>
      <c r="B76" s="116" t="s">
        <v>359</v>
      </c>
      <c r="C76" s="112">
        <f>VLOOKUP("~"&amp;GroupVertices[[#This Row],[Vertex]],Vertices[],MATCH("ID",Vertices[[#Headers],[Vertex]:[Hashtags in Tweet by Salience]],0),FALSE)</f>
        <v>32</v>
      </c>
    </row>
    <row r="77" spans="1:3" ht="15">
      <c r="A77" s="113" t="s">
        <v>3181</v>
      </c>
      <c r="B77" s="116" t="s">
        <v>247</v>
      </c>
      <c r="C77" s="112">
        <f>VLOOKUP("~"&amp;GroupVertices[[#This Row],[Vertex]],Vertices[],MATCH("ID",Vertices[[#Headers],[Vertex]:[Hashtags in Tweet by Salience]],0),FALSE)</f>
        <v>205</v>
      </c>
    </row>
    <row r="78" spans="1:3" ht="15">
      <c r="A78" s="113" t="s">
        <v>3181</v>
      </c>
      <c r="B78" s="116" t="s">
        <v>395</v>
      </c>
      <c r="C78" s="112">
        <f>VLOOKUP("~"&amp;GroupVertices[[#This Row],[Vertex]],Vertices[],MATCH("ID",Vertices[[#Headers],[Vertex]:[Hashtags in Tweet by Salience]],0),FALSE)</f>
        <v>27</v>
      </c>
    </row>
    <row r="79" spans="1:3" ht="15">
      <c r="A79" s="113" t="s">
        <v>3181</v>
      </c>
      <c r="B79" s="116" t="s">
        <v>390</v>
      </c>
      <c r="C79" s="112">
        <f>VLOOKUP("~"&amp;GroupVertices[[#This Row],[Vertex]],Vertices[],MATCH("ID",Vertices[[#Headers],[Vertex]:[Hashtags in Tweet by Salience]],0),FALSE)</f>
        <v>121</v>
      </c>
    </row>
    <row r="80" spans="1:3" ht="15">
      <c r="A80" s="113" t="s">
        <v>3181</v>
      </c>
      <c r="B80" s="116" t="s">
        <v>392</v>
      </c>
      <c r="C80" s="112">
        <f>VLOOKUP("~"&amp;GroupVertices[[#This Row],[Vertex]],Vertices[],MATCH("ID",Vertices[[#Headers],[Vertex]:[Hashtags in Tweet by Salience]],0),FALSE)</f>
        <v>117</v>
      </c>
    </row>
    <row r="81" spans="1:3" ht="15">
      <c r="A81" s="113" t="s">
        <v>3181</v>
      </c>
      <c r="B81" s="116" t="s">
        <v>391</v>
      </c>
      <c r="C81" s="112">
        <f>VLOOKUP("~"&amp;GroupVertices[[#This Row],[Vertex]],Vertices[],MATCH("ID",Vertices[[#Headers],[Vertex]:[Hashtags in Tweet by Salience]],0),FALSE)</f>
        <v>118</v>
      </c>
    </row>
    <row r="82" spans="1:3" ht="15">
      <c r="A82" s="113" t="s">
        <v>3181</v>
      </c>
      <c r="B82" s="116" t="s">
        <v>273</v>
      </c>
      <c r="C82" s="112">
        <f>VLOOKUP("~"&amp;GroupVertices[[#This Row],[Vertex]],Vertices[],MATCH("ID",Vertices[[#Headers],[Vertex]:[Hashtags in Tweet by Salience]],0),FALSE)</f>
        <v>210</v>
      </c>
    </row>
    <row r="83" spans="1:3" ht="15">
      <c r="A83" s="113" t="s">
        <v>3181</v>
      </c>
      <c r="B83" s="116" t="s">
        <v>393</v>
      </c>
      <c r="C83" s="112">
        <f>VLOOKUP("~"&amp;GroupVertices[[#This Row],[Vertex]],Vertices[],MATCH("ID",Vertices[[#Headers],[Vertex]:[Hashtags in Tweet by Salience]],0),FALSE)</f>
        <v>119</v>
      </c>
    </row>
    <row r="84" spans="1:3" ht="15">
      <c r="A84" s="113" t="s">
        <v>3181</v>
      </c>
      <c r="B84" s="116" t="s">
        <v>353</v>
      </c>
      <c r="C84" s="112">
        <f>VLOOKUP("~"&amp;GroupVertices[[#This Row],[Vertex]],Vertices[],MATCH("ID",Vertices[[#Headers],[Vertex]:[Hashtags in Tweet by Salience]],0),FALSE)</f>
        <v>116</v>
      </c>
    </row>
    <row r="85" spans="1:3" ht="15">
      <c r="A85" s="113" t="s">
        <v>3181</v>
      </c>
      <c r="B85" s="116" t="s">
        <v>234</v>
      </c>
      <c r="C85" s="112">
        <f>VLOOKUP("~"&amp;GroupVertices[[#This Row],[Vertex]],Vertices[],MATCH("ID",Vertices[[#Headers],[Vertex]:[Hashtags in Tweet by Salience]],0),FALSE)</f>
        <v>66</v>
      </c>
    </row>
    <row r="86" spans="1:3" ht="15">
      <c r="A86" s="113" t="s">
        <v>3181</v>
      </c>
      <c r="B86" s="116" t="s">
        <v>243</v>
      </c>
      <c r="C86" s="112">
        <f>VLOOKUP("~"&amp;GroupVertices[[#This Row],[Vertex]],Vertices[],MATCH("ID",Vertices[[#Headers],[Vertex]:[Hashtags in Tweet by Salience]],0),FALSE)</f>
        <v>207</v>
      </c>
    </row>
    <row r="87" spans="1:3" ht="15">
      <c r="A87" s="113" t="s">
        <v>3181</v>
      </c>
      <c r="B87" s="116" t="s">
        <v>334</v>
      </c>
      <c r="C87" s="112">
        <f>VLOOKUP("~"&amp;GroupVertices[[#This Row],[Vertex]],Vertices[],MATCH("ID",Vertices[[#Headers],[Vertex]:[Hashtags in Tweet by Salience]],0),FALSE)</f>
        <v>5</v>
      </c>
    </row>
    <row r="88" spans="1:3" ht="15">
      <c r="A88" s="113" t="s">
        <v>3181</v>
      </c>
      <c r="B88" s="116" t="s">
        <v>229</v>
      </c>
      <c r="C88" s="112">
        <f>VLOOKUP("~"&amp;GroupVertices[[#This Row],[Vertex]],Vertices[],MATCH("ID",Vertices[[#Headers],[Vertex]:[Hashtags in Tweet by Salience]],0),FALSE)</f>
        <v>208</v>
      </c>
    </row>
    <row r="89" spans="1:3" ht="15">
      <c r="A89" s="113" t="s">
        <v>3181</v>
      </c>
      <c r="B89" s="116" t="s">
        <v>283</v>
      </c>
      <c r="C89" s="112">
        <f>VLOOKUP("~"&amp;GroupVertices[[#This Row],[Vertex]],Vertices[],MATCH("ID",Vertices[[#Headers],[Vertex]:[Hashtags in Tweet by Salience]],0),FALSE)</f>
        <v>209</v>
      </c>
    </row>
    <row r="90" spans="1:3" ht="15">
      <c r="A90" s="113" t="s">
        <v>3182</v>
      </c>
      <c r="B90" s="116" t="s">
        <v>340</v>
      </c>
      <c r="C90" s="112">
        <f>VLOOKUP("~"&amp;GroupVertices[[#This Row],[Vertex]],Vertices[],MATCH("ID",Vertices[[#Headers],[Vertex]:[Hashtags in Tweet by Salience]],0),FALSE)</f>
        <v>23</v>
      </c>
    </row>
    <row r="91" spans="1:3" ht="15">
      <c r="A91" s="113" t="s">
        <v>3182</v>
      </c>
      <c r="B91" s="116" t="s">
        <v>342</v>
      </c>
      <c r="C91" s="112">
        <f>VLOOKUP("~"&amp;GroupVertices[[#This Row],[Vertex]],Vertices[],MATCH("ID",Vertices[[#Headers],[Vertex]:[Hashtags in Tweet by Salience]],0),FALSE)</f>
        <v>25</v>
      </c>
    </row>
    <row r="92" spans="1:3" ht="15">
      <c r="A92" s="113" t="s">
        <v>3182</v>
      </c>
      <c r="B92" s="116" t="s">
        <v>332</v>
      </c>
      <c r="C92" s="112">
        <f>VLOOKUP("~"&amp;GroupVertices[[#This Row],[Vertex]],Vertices[],MATCH("ID",Vertices[[#Headers],[Vertex]:[Hashtags in Tweet by Salience]],0),FALSE)</f>
        <v>24</v>
      </c>
    </row>
    <row r="93" spans="1:3" ht="15">
      <c r="A93" s="113" t="s">
        <v>3182</v>
      </c>
      <c r="B93" s="116" t="s">
        <v>331</v>
      </c>
      <c r="C93" s="112">
        <f>VLOOKUP("~"&amp;GroupVertices[[#This Row],[Vertex]],Vertices[],MATCH("ID",Vertices[[#Headers],[Vertex]:[Hashtags in Tweet by Salience]],0),FALSE)</f>
        <v>22</v>
      </c>
    </row>
    <row r="94" spans="1:3" ht="15">
      <c r="A94" s="113" t="s">
        <v>3182</v>
      </c>
      <c r="B94" s="116" t="s">
        <v>479</v>
      </c>
      <c r="C94" s="112">
        <f>VLOOKUP("~"&amp;GroupVertices[[#This Row],[Vertex]],Vertices[],MATCH("ID",Vertices[[#Headers],[Vertex]:[Hashtags in Tweet by Salience]],0),FALSE)</f>
        <v>45</v>
      </c>
    </row>
    <row r="95" spans="1:3" ht="15">
      <c r="A95" s="113" t="s">
        <v>3182</v>
      </c>
      <c r="B95" s="116" t="s">
        <v>478</v>
      </c>
      <c r="C95" s="112">
        <f>VLOOKUP("~"&amp;GroupVertices[[#This Row],[Vertex]],Vertices[],MATCH("ID",Vertices[[#Headers],[Vertex]:[Hashtags in Tweet by Salience]],0),FALSE)</f>
        <v>46</v>
      </c>
    </row>
    <row r="96" spans="1:3" ht="15">
      <c r="A96" s="113" t="s">
        <v>3182</v>
      </c>
      <c r="B96" s="116" t="s">
        <v>329</v>
      </c>
      <c r="C96" s="112">
        <f>VLOOKUP("~"&amp;GroupVertices[[#This Row],[Vertex]],Vertices[],MATCH("ID",Vertices[[#Headers],[Vertex]:[Hashtags in Tweet by Salience]],0),FALSE)</f>
        <v>192</v>
      </c>
    </row>
    <row r="97" spans="1:3" ht="15">
      <c r="A97" s="113" t="s">
        <v>3182</v>
      </c>
      <c r="B97" s="116" t="s">
        <v>330</v>
      </c>
      <c r="C97" s="112">
        <f>VLOOKUP("~"&amp;GroupVertices[[#This Row],[Vertex]],Vertices[],MATCH("ID",Vertices[[#Headers],[Vertex]:[Hashtags in Tweet by Salience]],0),FALSE)</f>
        <v>21</v>
      </c>
    </row>
    <row r="98" spans="1:3" ht="15">
      <c r="A98" s="113" t="s">
        <v>3182</v>
      </c>
      <c r="B98" s="116" t="s">
        <v>244</v>
      </c>
      <c r="C98" s="112">
        <f>VLOOKUP("~"&amp;GroupVertices[[#This Row],[Vertex]],Vertices[],MATCH("ID",Vertices[[#Headers],[Vertex]:[Hashtags in Tweet by Salience]],0),FALSE)</f>
        <v>216</v>
      </c>
    </row>
    <row r="99" spans="1:3" ht="15">
      <c r="A99" s="113" t="s">
        <v>3182</v>
      </c>
      <c r="B99" s="116" t="s">
        <v>337</v>
      </c>
      <c r="C99" s="112">
        <f>VLOOKUP("~"&amp;GroupVertices[[#This Row],[Vertex]],Vertices[],MATCH("ID",Vertices[[#Headers],[Vertex]:[Hashtags in Tweet by Salience]],0),FALSE)</f>
        <v>12</v>
      </c>
    </row>
    <row r="100" spans="1:3" ht="15">
      <c r="A100" s="113" t="s">
        <v>3182</v>
      </c>
      <c r="B100" s="116" t="s">
        <v>335</v>
      </c>
      <c r="C100" s="112">
        <f>VLOOKUP("~"&amp;GroupVertices[[#This Row],[Vertex]],Vertices[],MATCH("ID",Vertices[[#Headers],[Vertex]:[Hashtags in Tweet by Salience]],0),FALSE)</f>
        <v>11</v>
      </c>
    </row>
    <row r="101" spans="1:3" ht="15">
      <c r="A101" s="113" t="s">
        <v>3182</v>
      </c>
      <c r="B101" s="116" t="s">
        <v>238</v>
      </c>
      <c r="C101" s="112">
        <f>VLOOKUP("~"&amp;GroupVertices[[#This Row],[Vertex]],Vertices[],MATCH("ID",Vertices[[#Headers],[Vertex]:[Hashtags in Tweet by Salience]],0),FALSE)</f>
        <v>206</v>
      </c>
    </row>
    <row r="102" spans="1:3" ht="15">
      <c r="A102" s="113" t="s">
        <v>3183</v>
      </c>
      <c r="B102" s="116" t="s">
        <v>223</v>
      </c>
      <c r="C102" s="112">
        <f>VLOOKUP("~"&amp;GroupVertices[[#This Row],[Vertex]],Vertices[],MATCH("ID",Vertices[[#Headers],[Vertex]:[Hashtags in Tweet by Salience]],0),FALSE)</f>
        <v>17</v>
      </c>
    </row>
    <row r="103" spans="1:3" ht="15">
      <c r="A103" s="113" t="s">
        <v>3183</v>
      </c>
      <c r="B103" s="116" t="s">
        <v>344</v>
      </c>
      <c r="C103" s="112">
        <f>VLOOKUP("~"&amp;GroupVertices[[#This Row],[Vertex]],Vertices[],MATCH("ID",Vertices[[#Headers],[Vertex]:[Hashtags in Tweet by Salience]],0),FALSE)</f>
        <v>79</v>
      </c>
    </row>
    <row r="104" spans="1:3" ht="15">
      <c r="A104" s="113" t="s">
        <v>3183</v>
      </c>
      <c r="B104" s="116" t="s">
        <v>358</v>
      </c>
      <c r="C104" s="112">
        <f>VLOOKUP("~"&amp;GroupVertices[[#This Row],[Vertex]],Vertices[],MATCH("ID",Vertices[[#Headers],[Vertex]:[Hashtags in Tweet by Salience]],0),FALSE)</f>
        <v>65</v>
      </c>
    </row>
    <row r="105" spans="1:3" ht="15">
      <c r="A105" s="113" t="s">
        <v>3183</v>
      </c>
      <c r="B105" s="116" t="s">
        <v>245</v>
      </c>
      <c r="C105" s="112">
        <f>VLOOKUP("~"&amp;GroupVertices[[#This Row],[Vertex]],Vertices[],MATCH("ID",Vertices[[#Headers],[Vertex]:[Hashtags in Tweet by Salience]],0),FALSE)</f>
        <v>42</v>
      </c>
    </row>
    <row r="106" spans="1:3" ht="15">
      <c r="A106" s="113" t="s">
        <v>3183</v>
      </c>
      <c r="B106" s="116" t="s">
        <v>242</v>
      </c>
      <c r="C106" s="112">
        <f>VLOOKUP("~"&amp;GroupVertices[[#This Row],[Vertex]],Vertices[],MATCH("ID",Vertices[[#Headers],[Vertex]:[Hashtags in Tweet by Salience]],0),FALSE)</f>
        <v>229</v>
      </c>
    </row>
    <row r="107" spans="1:3" ht="15">
      <c r="A107" s="113" t="s">
        <v>3183</v>
      </c>
      <c r="B107" s="116" t="s">
        <v>357</v>
      </c>
      <c r="C107" s="112">
        <f>VLOOKUP("~"&amp;GroupVertices[[#This Row],[Vertex]],Vertices[],MATCH("ID",Vertices[[#Headers],[Vertex]:[Hashtags in Tweet by Salience]],0),FALSE)</f>
        <v>30</v>
      </c>
    </row>
    <row r="108" spans="1:3" ht="15">
      <c r="A108" s="113" t="s">
        <v>3183</v>
      </c>
      <c r="B108" s="116" t="s">
        <v>309</v>
      </c>
      <c r="C108" s="112">
        <f>VLOOKUP("~"&amp;GroupVertices[[#This Row],[Vertex]],Vertices[],MATCH("ID",Vertices[[#Headers],[Vertex]:[Hashtags in Tweet by Salience]],0),FALSE)</f>
        <v>200</v>
      </c>
    </row>
    <row r="109" spans="1:3" ht="15">
      <c r="A109" s="113" t="s">
        <v>3183</v>
      </c>
      <c r="B109" s="116" t="s">
        <v>235</v>
      </c>
      <c r="C109" s="112">
        <f>VLOOKUP("~"&amp;GroupVertices[[#This Row],[Vertex]],Vertices[],MATCH("ID",Vertices[[#Headers],[Vertex]:[Hashtags in Tweet by Salience]],0),FALSE)</f>
        <v>199</v>
      </c>
    </row>
    <row r="110" spans="1:3" ht="15">
      <c r="A110" s="113" t="s">
        <v>3183</v>
      </c>
      <c r="B110" s="116" t="s">
        <v>302</v>
      </c>
      <c r="C110" s="112">
        <f>VLOOKUP("~"&amp;GroupVertices[[#This Row],[Vertex]],Vertices[],MATCH("ID",Vertices[[#Headers],[Vertex]:[Hashtags in Tweet by Salience]],0),FALSE)</f>
        <v>197</v>
      </c>
    </row>
    <row r="111" spans="1:3" ht="15">
      <c r="A111" s="113" t="s">
        <v>3183</v>
      </c>
      <c r="B111" s="116" t="s">
        <v>278</v>
      </c>
      <c r="C111" s="112">
        <f>VLOOKUP("~"&amp;GroupVertices[[#This Row],[Vertex]],Vertices[],MATCH("ID",Vertices[[#Headers],[Vertex]:[Hashtags in Tweet by Salience]],0),FALSE)</f>
        <v>198</v>
      </c>
    </row>
    <row r="112" spans="1:3" ht="15">
      <c r="A112" s="113" t="s">
        <v>3183</v>
      </c>
      <c r="B112" s="116" t="s">
        <v>341</v>
      </c>
      <c r="C112" s="112">
        <f>VLOOKUP("~"&amp;GroupVertices[[#This Row],[Vertex]],Vertices[],MATCH("ID",Vertices[[#Headers],[Vertex]:[Hashtags in Tweet by Salience]],0),FALSE)</f>
        <v>3</v>
      </c>
    </row>
    <row r="113" spans="1:3" ht="15">
      <c r="A113" s="113" t="s">
        <v>3183</v>
      </c>
      <c r="B113" s="116" t="s">
        <v>246</v>
      </c>
      <c r="C113" s="112">
        <f>VLOOKUP("~"&amp;GroupVertices[[#This Row],[Vertex]],Vertices[],MATCH("ID",Vertices[[#Headers],[Vertex]:[Hashtags in Tweet by Salience]],0),FALSE)</f>
        <v>201</v>
      </c>
    </row>
    <row r="114" spans="1:3" ht="15">
      <c r="A114" s="113" t="s">
        <v>3184</v>
      </c>
      <c r="B114" s="116" t="s">
        <v>371</v>
      </c>
      <c r="C114" s="112">
        <f>VLOOKUP("~"&amp;GroupVertices[[#This Row],[Vertex]],Vertices[],MATCH("ID",Vertices[[#Headers],[Vertex]:[Hashtags in Tweet by Salience]],0),FALSE)</f>
        <v>131</v>
      </c>
    </row>
    <row r="115" spans="1:3" ht="15">
      <c r="A115" s="113" t="s">
        <v>3184</v>
      </c>
      <c r="B115" s="116" t="s">
        <v>370</v>
      </c>
      <c r="C115" s="112">
        <f>VLOOKUP("~"&amp;GroupVertices[[#This Row],[Vertex]],Vertices[],MATCH("ID",Vertices[[#Headers],[Vertex]:[Hashtags in Tweet by Salience]],0),FALSE)</f>
        <v>133</v>
      </c>
    </row>
    <row r="116" spans="1:3" ht="15">
      <c r="A116" s="113" t="s">
        <v>3184</v>
      </c>
      <c r="B116" s="116" t="s">
        <v>363</v>
      </c>
      <c r="C116" s="112">
        <f>VLOOKUP("~"&amp;GroupVertices[[#This Row],[Vertex]],Vertices[],MATCH("ID",Vertices[[#Headers],[Vertex]:[Hashtags in Tweet by Salience]],0),FALSE)</f>
        <v>127</v>
      </c>
    </row>
    <row r="117" spans="1:3" ht="15">
      <c r="A117" s="113" t="s">
        <v>3184</v>
      </c>
      <c r="B117" s="116" t="s">
        <v>364</v>
      </c>
      <c r="C117" s="112">
        <f>VLOOKUP("~"&amp;GroupVertices[[#This Row],[Vertex]],Vertices[],MATCH("ID",Vertices[[#Headers],[Vertex]:[Hashtags in Tweet by Salience]],0),FALSE)</f>
        <v>134</v>
      </c>
    </row>
    <row r="118" spans="1:3" ht="15">
      <c r="A118" s="113" t="s">
        <v>3184</v>
      </c>
      <c r="B118" s="116" t="s">
        <v>366</v>
      </c>
      <c r="C118" s="112">
        <f>VLOOKUP("~"&amp;GroupVertices[[#This Row],[Vertex]],Vertices[],MATCH("ID",Vertices[[#Headers],[Vertex]:[Hashtags in Tweet by Salience]],0),FALSE)</f>
        <v>135</v>
      </c>
    </row>
    <row r="119" spans="1:3" ht="15">
      <c r="A119" s="113" t="s">
        <v>3184</v>
      </c>
      <c r="B119" s="116" t="s">
        <v>365</v>
      </c>
      <c r="C119" s="112">
        <f>VLOOKUP("~"&amp;GroupVertices[[#This Row],[Vertex]],Vertices[],MATCH("ID",Vertices[[#Headers],[Vertex]:[Hashtags in Tweet by Salience]],0),FALSE)</f>
        <v>130</v>
      </c>
    </row>
    <row r="120" spans="1:3" ht="15">
      <c r="A120" s="113" t="s">
        <v>3184</v>
      </c>
      <c r="B120" s="116" t="s">
        <v>367</v>
      </c>
      <c r="C120" s="112">
        <f>VLOOKUP("~"&amp;GroupVertices[[#This Row],[Vertex]],Vertices[],MATCH("ID",Vertices[[#Headers],[Vertex]:[Hashtags in Tweet by Salience]],0),FALSE)</f>
        <v>129</v>
      </c>
    </row>
    <row r="121" spans="1:3" ht="15">
      <c r="A121" s="113" t="s">
        <v>3184</v>
      </c>
      <c r="B121" s="116" t="s">
        <v>368</v>
      </c>
      <c r="C121" s="112">
        <f>VLOOKUP("~"&amp;GroupVertices[[#This Row],[Vertex]],Vertices[],MATCH("ID",Vertices[[#Headers],[Vertex]:[Hashtags in Tweet by Salience]],0),FALSE)</f>
        <v>136</v>
      </c>
    </row>
    <row r="122" spans="1:3" ht="15">
      <c r="A122" s="113" t="s">
        <v>3184</v>
      </c>
      <c r="B122" s="116" t="s">
        <v>250</v>
      </c>
      <c r="C122" s="112">
        <f>VLOOKUP("~"&amp;GroupVertices[[#This Row],[Vertex]],Vertices[],MATCH("ID",Vertices[[#Headers],[Vertex]:[Hashtags in Tweet by Salience]],0),FALSE)</f>
        <v>231</v>
      </c>
    </row>
    <row r="123" spans="1:3" ht="15">
      <c r="A123" s="113" t="s">
        <v>3184</v>
      </c>
      <c r="B123" s="116" t="s">
        <v>362</v>
      </c>
      <c r="C123" s="112">
        <f>VLOOKUP("~"&amp;GroupVertices[[#This Row],[Vertex]],Vertices[],MATCH("ID",Vertices[[#Headers],[Vertex]:[Hashtags in Tweet by Salience]],0),FALSE)</f>
        <v>128</v>
      </c>
    </row>
    <row r="124" spans="1:3" ht="15">
      <c r="A124" s="113" t="s">
        <v>3184</v>
      </c>
      <c r="B124" s="116" t="s">
        <v>369</v>
      </c>
      <c r="C124" s="112">
        <f>VLOOKUP("~"&amp;GroupVertices[[#This Row],[Vertex]],Vertices[],MATCH("ID",Vertices[[#Headers],[Vertex]:[Hashtags in Tweet by Salience]],0),FALSE)</f>
        <v>132</v>
      </c>
    </row>
    <row r="125" spans="1:3" ht="15">
      <c r="A125" s="113" t="s">
        <v>3185</v>
      </c>
      <c r="B125" s="116" t="s">
        <v>394</v>
      </c>
      <c r="C125" s="112">
        <f>VLOOKUP("~"&amp;GroupVertices[[#This Row],[Vertex]],Vertices[],MATCH("ID",Vertices[[#Headers],[Vertex]:[Hashtags in Tweet by Salience]],0),FALSE)</f>
        <v>16</v>
      </c>
    </row>
    <row r="126" spans="1:3" ht="15">
      <c r="A126" s="113" t="s">
        <v>3185</v>
      </c>
      <c r="B126" s="116" t="s">
        <v>396</v>
      </c>
      <c r="C126" s="112">
        <f>VLOOKUP("~"&amp;GroupVertices[[#This Row],[Vertex]],Vertices[],MATCH("ID",Vertices[[#Headers],[Vertex]:[Hashtags in Tweet by Salience]],0),FALSE)</f>
        <v>70</v>
      </c>
    </row>
    <row r="127" spans="1:3" ht="15">
      <c r="A127" s="113" t="s">
        <v>3185</v>
      </c>
      <c r="B127" s="116" t="s">
        <v>397</v>
      </c>
      <c r="C127" s="112">
        <f>VLOOKUP("~"&amp;GroupVertices[[#This Row],[Vertex]],Vertices[],MATCH("ID",Vertices[[#Headers],[Vertex]:[Hashtags in Tweet by Salience]],0),FALSE)</f>
        <v>72</v>
      </c>
    </row>
    <row r="128" spans="1:3" ht="15">
      <c r="A128" s="113" t="s">
        <v>3185</v>
      </c>
      <c r="B128" s="116" t="s">
        <v>274</v>
      </c>
      <c r="C128" s="112">
        <f>VLOOKUP("~"&amp;GroupVertices[[#This Row],[Vertex]],Vertices[],MATCH("ID",Vertices[[#Headers],[Vertex]:[Hashtags in Tweet by Salience]],0),FALSE)</f>
        <v>195</v>
      </c>
    </row>
    <row r="129" spans="1:3" ht="15">
      <c r="A129" s="113" t="s">
        <v>3185</v>
      </c>
      <c r="B129" s="116" t="s">
        <v>398</v>
      </c>
      <c r="C129" s="112">
        <f>VLOOKUP("~"&amp;GroupVertices[[#This Row],[Vertex]],Vertices[],MATCH("ID",Vertices[[#Headers],[Vertex]:[Hashtags in Tweet by Salience]],0),FALSE)</f>
        <v>71</v>
      </c>
    </row>
    <row r="130" spans="1:3" ht="15">
      <c r="A130" s="113" t="s">
        <v>3185</v>
      </c>
      <c r="B130" s="116" t="s">
        <v>347</v>
      </c>
      <c r="C130" s="112">
        <f>VLOOKUP("~"&amp;GroupVertices[[#This Row],[Vertex]],Vertices[],MATCH("ID",Vertices[[#Headers],[Vertex]:[Hashtags in Tweet by Salience]],0),FALSE)</f>
        <v>75</v>
      </c>
    </row>
    <row r="131" spans="1:3" ht="15">
      <c r="A131" s="113" t="s">
        <v>3185</v>
      </c>
      <c r="B131" s="116" t="s">
        <v>349</v>
      </c>
      <c r="C131" s="112">
        <f>VLOOKUP("~"&amp;GroupVertices[[#This Row],[Vertex]],Vertices[],MATCH("ID",Vertices[[#Headers],[Vertex]:[Hashtags in Tweet by Salience]],0),FALSE)</f>
        <v>77</v>
      </c>
    </row>
    <row r="132" spans="1:3" ht="15">
      <c r="A132" s="113" t="s">
        <v>3185</v>
      </c>
      <c r="B132" s="116" t="s">
        <v>350</v>
      </c>
      <c r="C132" s="112">
        <f>VLOOKUP("~"&amp;GroupVertices[[#This Row],[Vertex]],Vertices[],MATCH("ID",Vertices[[#Headers],[Vertex]:[Hashtags in Tweet by Salience]],0),FALSE)</f>
        <v>74</v>
      </c>
    </row>
    <row r="133" spans="1:3" ht="15">
      <c r="A133" s="113" t="s">
        <v>3185</v>
      </c>
      <c r="B133" s="116" t="s">
        <v>226</v>
      </c>
      <c r="C133" s="112">
        <f>VLOOKUP("~"&amp;GroupVertices[[#This Row],[Vertex]],Vertices[],MATCH("ID",Vertices[[#Headers],[Vertex]:[Hashtags in Tweet by Salience]],0),FALSE)</f>
        <v>202</v>
      </c>
    </row>
    <row r="134" spans="1:3" ht="15">
      <c r="A134" s="113" t="s">
        <v>3185</v>
      </c>
      <c r="B134" s="116" t="s">
        <v>348</v>
      </c>
      <c r="C134" s="112">
        <f>VLOOKUP("~"&amp;GroupVertices[[#This Row],[Vertex]],Vertices[],MATCH("ID",Vertices[[#Headers],[Vertex]:[Hashtags in Tweet by Salience]],0),FALSE)</f>
        <v>76</v>
      </c>
    </row>
    <row r="135" spans="1:3" ht="15">
      <c r="A135" s="113" t="s">
        <v>3185</v>
      </c>
      <c r="B135" s="116" t="s">
        <v>338</v>
      </c>
      <c r="C135" s="112">
        <f>VLOOKUP("~"&amp;GroupVertices[[#This Row],[Vertex]],Vertices[],MATCH("ID",Vertices[[#Headers],[Vertex]:[Hashtags in Tweet by Salience]],0),FALSE)</f>
        <v>10</v>
      </c>
    </row>
    <row r="136" spans="1:3" ht="15">
      <c r="A136" s="113" t="s">
        <v>3186</v>
      </c>
      <c r="B136" s="116" t="s">
        <v>253</v>
      </c>
      <c r="C136" s="112">
        <f>VLOOKUP("~"&amp;GroupVertices[[#This Row],[Vertex]],Vertices[],MATCH("ID",Vertices[[#Headers],[Vertex]:[Hashtags in Tweet by Salience]],0),FALSE)</f>
        <v>227</v>
      </c>
    </row>
    <row r="137" spans="1:3" ht="15">
      <c r="A137" s="113" t="s">
        <v>3186</v>
      </c>
      <c r="B137" s="116" t="s">
        <v>255</v>
      </c>
      <c r="C137" s="112">
        <f>VLOOKUP("~"&amp;GroupVertices[[#This Row],[Vertex]],Vertices[],MATCH("ID",Vertices[[#Headers],[Vertex]:[Hashtags in Tweet by Salience]],0),FALSE)</f>
        <v>228</v>
      </c>
    </row>
    <row r="138" spans="1:3" ht="15">
      <c r="A138" s="113" t="s">
        <v>3186</v>
      </c>
      <c r="B138" s="116" t="s">
        <v>298</v>
      </c>
      <c r="C138" s="112">
        <f>VLOOKUP("~"&amp;GroupVertices[[#This Row],[Vertex]],Vertices[],MATCH("ID",Vertices[[#Headers],[Vertex]:[Hashtags in Tweet by Salience]],0),FALSE)</f>
        <v>224</v>
      </c>
    </row>
    <row r="139" spans="1:3" ht="15">
      <c r="A139" s="113" t="s">
        <v>3186</v>
      </c>
      <c r="B139" s="116" t="s">
        <v>319</v>
      </c>
      <c r="C139" s="112">
        <f>VLOOKUP("~"&amp;GroupVertices[[#This Row],[Vertex]],Vertices[],MATCH("ID",Vertices[[#Headers],[Vertex]:[Hashtags in Tweet by Salience]],0),FALSE)</f>
        <v>220</v>
      </c>
    </row>
    <row r="140" spans="1:3" ht="15">
      <c r="A140" s="113" t="s">
        <v>3186</v>
      </c>
      <c r="B140" s="116" t="s">
        <v>301</v>
      </c>
      <c r="C140" s="112">
        <f>VLOOKUP("~"&amp;GroupVertices[[#This Row],[Vertex]],Vertices[],MATCH("ID",Vertices[[#Headers],[Vertex]:[Hashtags in Tweet by Salience]],0),FALSE)</f>
        <v>222</v>
      </c>
    </row>
    <row r="141" spans="1:3" ht="15">
      <c r="A141" s="113" t="s">
        <v>3186</v>
      </c>
      <c r="B141" s="116" t="s">
        <v>304</v>
      </c>
      <c r="C141" s="112">
        <f>VLOOKUP("~"&amp;GroupVertices[[#This Row],[Vertex]],Vertices[],MATCH("ID",Vertices[[#Headers],[Vertex]:[Hashtags in Tweet by Salience]],0),FALSE)</f>
        <v>221</v>
      </c>
    </row>
    <row r="142" spans="1:3" ht="15">
      <c r="A142" s="113" t="s">
        <v>3186</v>
      </c>
      <c r="B142" s="116" t="s">
        <v>236</v>
      </c>
      <c r="C142" s="112">
        <f>VLOOKUP("~"&amp;GroupVertices[[#This Row],[Vertex]],Vertices[],MATCH("ID",Vertices[[#Headers],[Vertex]:[Hashtags in Tweet by Salience]],0),FALSE)</f>
        <v>223</v>
      </c>
    </row>
    <row r="143" spans="1:3" ht="15">
      <c r="A143" s="113" t="s">
        <v>3186</v>
      </c>
      <c r="B143" s="116" t="s">
        <v>318</v>
      </c>
      <c r="C143" s="112">
        <f>VLOOKUP("~"&amp;GroupVertices[[#This Row],[Vertex]],Vertices[],MATCH("ID",Vertices[[#Headers],[Vertex]:[Hashtags in Tweet by Salience]],0),FALSE)</f>
        <v>4</v>
      </c>
    </row>
    <row r="144" spans="1:3" ht="15">
      <c r="A144" s="113" t="s">
        <v>3186</v>
      </c>
      <c r="B144" s="116" t="s">
        <v>240</v>
      </c>
      <c r="C144" s="112">
        <f>VLOOKUP("~"&amp;GroupVertices[[#This Row],[Vertex]],Vertices[],MATCH("ID",Vertices[[#Headers],[Vertex]:[Hashtags in Tweet by Salience]],0),FALSE)</f>
        <v>225</v>
      </c>
    </row>
    <row r="145" spans="1:3" ht="15">
      <c r="A145" s="113" t="s">
        <v>3186</v>
      </c>
      <c r="B145" s="116" t="s">
        <v>251</v>
      </c>
      <c r="C145" s="112">
        <f>VLOOKUP("~"&amp;GroupVertices[[#This Row],[Vertex]],Vertices[],MATCH("ID",Vertices[[#Headers],[Vertex]:[Hashtags in Tweet by Salience]],0),FALSE)</f>
        <v>226</v>
      </c>
    </row>
    <row r="146" spans="1:3" ht="15">
      <c r="A146" s="113" t="s">
        <v>3187</v>
      </c>
      <c r="B146" s="116" t="s">
        <v>336</v>
      </c>
      <c r="C146" s="112">
        <f>VLOOKUP("~"&amp;GroupVertices[[#This Row],[Vertex]],Vertices[],MATCH("ID",Vertices[[#Headers],[Vertex]:[Hashtags in Tweet by Salience]],0),FALSE)</f>
        <v>14</v>
      </c>
    </row>
    <row r="147" spans="1:3" ht="15">
      <c r="A147" s="113" t="s">
        <v>3187</v>
      </c>
      <c r="B147" s="116" t="s">
        <v>387</v>
      </c>
      <c r="C147" s="112">
        <f>VLOOKUP("~"&amp;GroupVertices[[#This Row],[Vertex]],Vertices[],MATCH("ID",Vertices[[#Headers],[Vertex]:[Hashtags in Tweet by Salience]],0),FALSE)</f>
        <v>29</v>
      </c>
    </row>
    <row r="148" spans="1:3" ht="15">
      <c r="A148" s="113" t="s">
        <v>3187</v>
      </c>
      <c r="B148" s="116" t="s">
        <v>389</v>
      </c>
      <c r="C148" s="112">
        <f>VLOOKUP("~"&amp;GroupVertices[[#This Row],[Vertex]],Vertices[],MATCH("ID",Vertices[[#Headers],[Vertex]:[Hashtags in Tweet by Salience]],0),FALSE)</f>
        <v>28</v>
      </c>
    </row>
    <row r="149" spans="1:3" ht="15">
      <c r="A149" s="113" t="s">
        <v>3187</v>
      </c>
      <c r="B149" s="116" t="s">
        <v>384</v>
      </c>
      <c r="C149" s="112">
        <f>VLOOKUP("~"&amp;GroupVertices[[#This Row],[Vertex]],Vertices[],MATCH("ID",Vertices[[#Headers],[Vertex]:[Hashtags in Tweet by Salience]],0),FALSE)</f>
        <v>68</v>
      </c>
    </row>
    <row r="150" spans="1:3" ht="15">
      <c r="A150" s="113" t="s">
        <v>3187</v>
      </c>
      <c r="B150" s="116" t="s">
        <v>386</v>
      </c>
      <c r="C150" s="112">
        <f>VLOOKUP("~"&amp;GroupVertices[[#This Row],[Vertex]],Vertices[],MATCH("ID",Vertices[[#Headers],[Vertex]:[Hashtags in Tweet by Salience]],0),FALSE)</f>
        <v>69</v>
      </c>
    </row>
    <row r="151" spans="1:3" ht="15">
      <c r="A151" s="113" t="s">
        <v>3187</v>
      </c>
      <c r="B151" s="116" t="s">
        <v>385</v>
      </c>
      <c r="C151" s="112">
        <f>VLOOKUP("~"&amp;GroupVertices[[#This Row],[Vertex]],Vertices[],MATCH("ID",Vertices[[#Headers],[Vertex]:[Hashtags in Tweet by Salience]],0),FALSE)</f>
        <v>67</v>
      </c>
    </row>
    <row r="152" spans="1:3" ht="15">
      <c r="A152" s="113" t="s">
        <v>3187</v>
      </c>
      <c r="B152" s="116" t="s">
        <v>269</v>
      </c>
      <c r="C152" s="112">
        <f>VLOOKUP("~"&amp;GroupVertices[[#This Row],[Vertex]],Vertices[],MATCH("ID",Vertices[[#Headers],[Vertex]:[Hashtags in Tweet by Salience]],0),FALSE)</f>
        <v>194</v>
      </c>
    </row>
    <row r="153" spans="1:3" ht="15">
      <c r="A153" s="113" t="s">
        <v>3187</v>
      </c>
      <c r="B153" s="116" t="s">
        <v>270</v>
      </c>
      <c r="C153" s="112">
        <f>VLOOKUP("~"&amp;GroupVertices[[#This Row],[Vertex]],Vertices[],MATCH("ID",Vertices[[#Headers],[Vertex]:[Hashtags in Tweet by Salience]],0),FALSE)</f>
        <v>13</v>
      </c>
    </row>
    <row r="154" spans="1:3" ht="15">
      <c r="A154" s="113" t="s">
        <v>3187</v>
      </c>
      <c r="B154" s="116" t="s">
        <v>388</v>
      </c>
      <c r="C154" s="112">
        <f>VLOOKUP("~"&amp;GroupVertices[[#This Row],[Vertex]],Vertices[],MATCH("ID",Vertices[[#Headers],[Vertex]:[Hashtags in Tweet by Salience]],0),FALSE)</f>
        <v>26</v>
      </c>
    </row>
    <row r="155" spans="1:3" ht="15">
      <c r="A155" s="113" t="s">
        <v>3188</v>
      </c>
      <c r="B155" s="116" t="s">
        <v>262</v>
      </c>
      <c r="C155" s="112">
        <f>VLOOKUP("~"&amp;GroupVertices[[#This Row],[Vertex]],Vertices[],MATCH("ID",Vertices[[#Headers],[Vertex]:[Hashtags in Tweet by Salience]],0),FALSE)</f>
        <v>43</v>
      </c>
    </row>
    <row r="156" spans="1:3" ht="15">
      <c r="A156" s="113" t="s">
        <v>3188</v>
      </c>
      <c r="B156" s="116" t="s">
        <v>261</v>
      </c>
      <c r="C156" s="112">
        <f>VLOOKUP("~"&amp;GroupVertices[[#This Row],[Vertex]],Vertices[],MATCH("ID",Vertices[[#Headers],[Vertex]:[Hashtags in Tweet by Salience]],0),FALSE)</f>
        <v>31</v>
      </c>
    </row>
    <row r="157" spans="1:3" ht="15">
      <c r="A157" s="113" t="s">
        <v>3188</v>
      </c>
      <c r="B157" s="116" t="s">
        <v>314</v>
      </c>
      <c r="C157" s="112">
        <f>VLOOKUP("~"&amp;GroupVertices[[#This Row],[Vertex]],Vertices[],MATCH("ID",Vertices[[#Headers],[Vertex]:[Hashtags in Tweet by Salience]],0),FALSE)</f>
        <v>6</v>
      </c>
    </row>
    <row r="158" spans="1:3" ht="15">
      <c r="A158" s="113" t="s">
        <v>3188</v>
      </c>
      <c r="B158" s="116" t="s">
        <v>252</v>
      </c>
      <c r="C158" s="112">
        <f>VLOOKUP("~"&amp;GroupVertices[[#This Row],[Vertex]],Vertices[],MATCH("ID",Vertices[[#Headers],[Vertex]:[Hashtags in Tweet by Salience]],0),FALSE)</f>
        <v>215</v>
      </c>
    </row>
    <row r="159" spans="1:3" ht="15">
      <c r="A159" s="113" t="s">
        <v>3188</v>
      </c>
      <c r="B159" s="116" t="s">
        <v>315</v>
      </c>
      <c r="C159" s="112">
        <f>VLOOKUP("~"&amp;GroupVertices[[#This Row],[Vertex]],Vertices[],MATCH("ID",Vertices[[#Headers],[Vertex]:[Hashtags in Tweet by Salience]],0),FALSE)</f>
        <v>214</v>
      </c>
    </row>
    <row r="160" spans="1:3" ht="15">
      <c r="A160" s="113" t="s">
        <v>3188</v>
      </c>
      <c r="B160" s="116" t="s">
        <v>463</v>
      </c>
      <c r="C160" s="112">
        <f>VLOOKUP("~"&amp;GroupVertices[[#This Row],[Vertex]],Vertices[],MATCH("ID",Vertices[[#Headers],[Vertex]:[Hashtags in Tweet by Salience]],0),FALSE)</f>
        <v>124</v>
      </c>
    </row>
    <row r="161" spans="1:3" ht="15">
      <c r="A161" s="113" t="s">
        <v>3188</v>
      </c>
      <c r="B161" s="116" t="s">
        <v>465</v>
      </c>
      <c r="C161" s="112">
        <f>VLOOKUP("~"&amp;GroupVertices[[#This Row],[Vertex]],Vertices[],MATCH("ID",Vertices[[#Headers],[Vertex]:[Hashtags in Tweet by Salience]],0),FALSE)</f>
        <v>123</v>
      </c>
    </row>
    <row r="162" spans="1:3" ht="15">
      <c r="A162" s="113" t="s">
        <v>3188</v>
      </c>
      <c r="B162" s="116" t="s">
        <v>464</v>
      </c>
      <c r="C162" s="112">
        <f>VLOOKUP("~"&amp;GroupVertices[[#This Row],[Vertex]],Vertices[],MATCH("ID",Vertices[[#Headers],[Vertex]:[Hashtags in Tweet by Salience]],0),FALSE)</f>
        <v>125</v>
      </c>
    </row>
    <row r="163" spans="1:3" ht="15">
      <c r="A163" s="113" t="s">
        <v>3188</v>
      </c>
      <c r="B163" s="116" t="s">
        <v>295</v>
      </c>
      <c r="C163" s="112">
        <f>VLOOKUP("~"&amp;GroupVertices[[#This Row],[Vertex]],Vertices[],MATCH("ID",Vertices[[#Headers],[Vertex]:[Hashtags in Tweet by Salience]],0),FALSE)</f>
        <v>212</v>
      </c>
    </row>
    <row r="164" spans="1:3" ht="15">
      <c r="A164" s="113" t="s">
        <v>3189</v>
      </c>
      <c r="B164" s="116" t="s">
        <v>280</v>
      </c>
      <c r="C164" s="112">
        <f>VLOOKUP("~"&amp;GroupVertices[[#This Row],[Vertex]],Vertices[],MATCH("ID",Vertices[[#Headers],[Vertex]:[Hashtags in Tweet by Salience]],0),FALSE)</f>
        <v>196</v>
      </c>
    </row>
    <row r="165" spans="1:3" ht="15">
      <c r="A165" s="113" t="s">
        <v>3189</v>
      </c>
      <c r="B165" s="116" t="s">
        <v>294</v>
      </c>
      <c r="C165" s="112">
        <f>VLOOKUP("~"&amp;GroupVertices[[#This Row],[Vertex]],Vertices[],MATCH("ID",Vertices[[#Headers],[Vertex]:[Hashtags in Tweet by Salience]],0),FALSE)</f>
        <v>213</v>
      </c>
    </row>
    <row r="166" spans="1:3" ht="15">
      <c r="A166" s="113" t="s">
        <v>3189</v>
      </c>
      <c r="B166" s="116" t="s">
        <v>339</v>
      </c>
      <c r="C166" s="112">
        <f>VLOOKUP("~"&amp;GroupVertices[[#This Row],[Vertex]],Vertices[],MATCH("ID",Vertices[[#Headers],[Vertex]:[Hashtags in Tweet by Salience]],0),FALSE)</f>
        <v>9</v>
      </c>
    </row>
    <row r="167" spans="1:3" ht="15">
      <c r="A167" s="113" t="s">
        <v>3189</v>
      </c>
      <c r="B167" s="116" t="s">
        <v>288</v>
      </c>
      <c r="C167" s="112">
        <f>VLOOKUP("~"&amp;GroupVertices[[#This Row],[Vertex]],Vertices[],MATCH("ID",Vertices[[#Headers],[Vertex]:[Hashtags in Tweet by Salience]],0),FALSE)</f>
        <v>18</v>
      </c>
    </row>
    <row r="168" spans="1:3" ht="15">
      <c r="A168" s="113" t="s">
        <v>3189</v>
      </c>
      <c r="B168" s="116" t="s">
        <v>260</v>
      </c>
      <c r="C168" s="112">
        <f>VLOOKUP("~"&amp;GroupVertices[[#This Row],[Vertex]],Vertices[],MATCH("ID",Vertices[[#Headers],[Vertex]:[Hashtags in Tweet by Salience]],0),FALSE)</f>
        <v>230</v>
      </c>
    </row>
    <row r="169" spans="1:3" ht="15">
      <c r="A169" s="113" t="s">
        <v>3189</v>
      </c>
      <c r="B169" s="116" t="s">
        <v>333</v>
      </c>
      <c r="C169" s="112">
        <f>VLOOKUP("~"&amp;GroupVertices[[#This Row],[Vertex]],Vertices[],MATCH("ID",Vertices[[#Headers],[Vertex]:[Hashtags in Tweet by Salience]],0),FALSE)</f>
        <v>15</v>
      </c>
    </row>
    <row r="170" spans="1:3" ht="15">
      <c r="A170" s="113" t="s">
        <v>3189</v>
      </c>
      <c r="B170" s="116" t="s">
        <v>352</v>
      </c>
      <c r="C170" s="112">
        <f>VLOOKUP("~"&amp;GroupVertices[[#This Row],[Vertex]],Vertices[],MATCH("ID",Vertices[[#Headers],[Vertex]:[Hashtags in Tweet by Salience]],0),FALSE)</f>
        <v>122</v>
      </c>
    </row>
    <row r="171" spans="1:3" ht="15">
      <c r="A171" s="113" t="s">
        <v>3189</v>
      </c>
      <c r="B171" s="116" t="s">
        <v>230</v>
      </c>
      <c r="C171" s="112">
        <f>VLOOKUP("~"&amp;GroupVertices[[#This Row],[Vertex]],Vertices[],MATCH("ID",Vertices[[#Headers],[Vertex]:[Hashtags in Tweet by Salience]],0),FALSE)</f>
        <v>211</v>
      </c>
    </row>
    <row r="172" spans="1:3" ht="15">
      <c r="A172" s="113" t="s">
        <v>3189</v>
      </c>
      <c r="B172" s="116" t="s">
        <v>351</v>
      </c>
      <c r="C172" s="112">
        <f>VLOOKUP("~"&amp;GroupVertices[[#This Row],[Vertex]],Vertices[],MATCH("ID",Vertices[[#Headers],[Vertex]:[Hashtags in Tweet by Salience]],0),FALSE)</f>
        <v>120</v>
      </c>
    </row>
    <row r="173" spans="1:3" ht="15">
      <c r="A173" s="113" t="s">
        <v>3190</v>
      </c>
      <c r="B173" s="116" t="s">
        <v>383</v>
      </c>
      <c r="C173" s="112">
        <f>VLOOKUP("~"&amp;GroupVertices[[#This Row],[Vertex]],Vertices[],MATCH("ID",Vertices[[#Headers],[Vertex]:[Hashtags in Tweet by Salience]],0),FALSE)</f>
        <v>78</v>
      </c>
    </row>
    <row r="174" spans="1:3" ht="15">
      <c r="A174" s="113" t="s">
        <v>3190</v>
      </c>
      <c r="B174" s="116" t="s">
        <v>303</v>
      </c>
      <c r="C174" s="112">
        <f>VLOOKUP("~"&amp;GroupVertices[[#This Row],[Vertex]],Vertices[],MATCH("ID",Vertices[[#Headers],[Vertex]:[Hashtags in Tweet by Salience]],0),FALSE)</f>
        <v>218</v>
      </c>
    </row>
    <row r="175" spans="1:3" ht="15">
      <c r="A175" s="113" t="s">
        <v>3190</v>
      </c>
      <c r="B175" s="116" t="s">
        <v>312</v>
      </c>
      <c r="C175" s="112">
        <f>VLOOKUP("~"&amp;GroupVertices[[#This Row],[Vertex]],Vertices[],MATCH("ID",Vertices[[#Headers],[Vertex]:[Hashtags in Tweet by Salience]],0),FALSE)</f>
        <v>219</v>
      </c>
    </row>
    <row r="176" spans="1:3" ht="15">
      <c r="A176" s="113" t="s">
        <v>3190</v>
      </c>
      <c r="B176" s="116" t="s">
        <v>268</v>
      </c>
      <c r="C176" s="112">
        <f>VLOOKUP("~"&amp;GroupVertices[[#This Row],[Vertex]],Vertices[],MATCH("ID",Vertices[[#Headers],[Vertex]:[Hashtags in Tweet by Salience]],0),FALSE)</f>
        <v>7</v>
      </c>
    </row>
    <row r="177" spans="1:3" ht="15">
      <c r="A177" s="113" t="s">
        <v>3190</v>
      </c>
      <c r="B177" s="116" t="s">
        <v>377</v>
      </c>
      <c r="C177" s="112">
        <f>VLOOKUP("~"&amp;GroupVertices[[#This Row],[Vertex]],Vertices[],MATCH("ID",Vertices[[#Headers],[Vertex]:[Hashtags in Tweet by Salience]],0),FALSE)</f>
        <v>33</v>
      </c>
    </row>
    <row r="178" spans="1:3" ht="15">
      <c r="A178" s="113" t="s">
        <v>3190</v>
      </c>
      <c r="B178" s="116" t="s">
        <v>257</v>
      </c>
      <c r="C178" s="112">
        <f>VLOOKUP("~"&amp;GroupVertices[[#This Row],[Vertex]],Vertices[],MATCH("ID",Vertices[[#Headers],[Vertex]:[Hashtags in Tweet by Salience]],0),FALSE)</f>
        <v>217</v>
      </c>
    </row>
    <row r="179" spans="1:3" ht="15">
      <c r="A179" s="113" t="s">
        <v>3190</v>
      </c>
      <c r="B179" s="116" t="s">
        <v>259</v>
      </c>
      <c r="C179" s="112">
        <f>VLOOKUP("~"&amp;GroupVertices[[#This Row],[Vertex]],Vertices[],MATCH("ID",Vertices[[#Headers],[Vertex]:[Hashtags in Tweet by Salience]],0),FALSE)</f>
        <v>73</v>
      </c>
    </row>
    <row r="180" spans="1:3" ht="15">
      <c r="A180" s="113" t="s">
        <v>3190</v>
      </c>
      <c r="B180" s="116" t="s">
        <v>378</v>
      </c>
      <c r="C180" s="112">
        <f>VLOOKUP("~"&amp;GroupVertices[[#This Row],[Vertex]],Vertices[],MATCH("ID",Vertices[[#Headers],[Vertex]:[Hashtags in Tweet by Salience]],0),FALSE)</f>
        <v>126</v>
      </c>
    </row>
    <row r="181" spans="1:3" ht="15">
      <c r="A181" s="113" t="s">
        <v>3191</v>
      </c>
      <c r="B181" s="116" t="s">
        <v>472</v>
      </c>
      <c r="C181" s="112">
        <f>VLOOKUP("~"&amp;GroupVertices[[#This Row],[Vertex]],Vertices[],MATCH("ID",Vertices[[#Headers],[Vertex]:[Hashtags in Tweet by Salience]],0),FALSE)</f>
        <v>142</v>
      </c>
    </row>
    <row r="182" spans="1:3" ht="15">
      <c r="A182" s="113" t="s">
        <v>3191</v>
      </c>
      <c r="B182" s="116" t="s">
        <v>474</v>
      </c>
      <c r="C182" s="112">
        <f>VLOOKUP("~"&amp;GroupVertices[[#This Row],[Vertex]],Vertices[],MATCH("ID",Vertices[[#Headers],[Vertex]:[Hashtags in Tweet by Salience]],0),FALSE)</f>
        <v>141</v>
      </c>
    </row>
    <row r="183" spans="1:3" ht="15">
      <c r="A183" s="113" t="s">
        <v>3191</v>
      </c>
      <c r="B183" s="116" t="s">
        <v>473</v>
      </c>
      <c r="C183" s="112">
        <f>VLOOKUP("~"&amp;GroupVertices[[#This Row],[Vertex]],Vertices[],MATCH("ID",Vertices[[#Headers],[Vertex]:[Hashtags in Tweet by Salience]],0),FALSE)</f>
        <v>140</v>
      </c>
    </row>
    <row r="184" spans="1:3" ht="15">
      <c r="A184" s="113" t="s">
        <v>3191</v>
      </c>
      <c r="B184" s="116" t="s">
        <v>475</v>
      </c>
      <c r="C184" s="112">
        <f>VLOOKUP("~"&amp;GroupVertices[[#This Row],[Vertex]],Vertices[],MATCH("ID",Vertices[[#Headers],[Vertex]:[Hashtags in Tweet by Salience]],0),FALSE)</f>
        <v>137</v>
      </c>
    </row>
    <row r="185" spans="1:3" ht="15">
      <c r="A185" s="113" t="s">
        <v>3191</v>
      </c>
      <c r="B185" s="116" t="s">
        <v>317</v>
      </c>
      <c r="C185" s="112">
        <f>VLOOKUP("~"&amp;GroupVertices[[#This Row],[Vertex]],Vertices[],MATCH("ID",Vertices[[#Headers],[Vertex]:[Hashtags in Tweet by Salience]],0),FALSE)</f>
        <v>232</v>
      </c>
    </row>
    <row r="186" spans="1:3" ht="15">
      <c r="A186" s="113" t="s">
        <v>3191</v>
      </c>
      <c r="B186" s="116" t="s">
        <v>470</v>
      </c>
      <c r="C186" s="112">
        <f>VLOOKUP("~"&amp;GroupVertices[[#This Row],[Vertex]],Vertices[],MATCH("ID",Vertices[[#Headers],[Vertex]:[Hashtags in Tweet by Salience]],0),FALSE)</f>
        <v>139</v>
      </c>
    </row>
    <row r="187" spans="1:3" ht="15">
      <c r="A187" s="113" t="s">
        <v>3191</v>
      </c>
      <c r="B187" s="116" t="s">
        <v>471</v>
      </c>
      <c r="C187" s="112">
        <f>VLOOKUP("~"&amp;GroupVertices[[#This Row],[Vertex]],Vertices[],MATCH("ID",Vertices[[#Headers],[Vertex]:[Hashtags in Tweet by Salience]],0),FALSE)</f>
        <v>138</v>
      </c>
    </row>
    <row r="188" spans="1:3" ht="15">
      <c r="A188" s="113" t="s">
        <v>3192</v>
      </c>
      <c r="B188" s="116" t="s">
        <v>400</v>
      </c>
      <c r="C188" s="112">
        <f>VLOOKUP("~"&amp;GroupVertices[[#This Row],[Vertex]],Vertices[],MATCH("ID",Vertices[[#Headers],[Vertex]:[Hashtags in Tweet by Salience]],0),FALSE)</f>
        <v>34</v>
      </c>
    </row>
    <row r="189" spans="1:3" ht="15">
      <c r="A189" s="113" t="s">
        <v>3192</v>
      </c>
      <c r="B189" s="116" t="s">
        <v>425</v>
      </c>
      <c r="C189" s="112">
        <f>VLOOKUP("~"&amp;GroupVertices[[#This Row],[Vertex]],Vertices[],MATCH("ID",Vertices[[#Headers],[Vertex]:[Hashtags in Tweet by Salience]],0),FALSE)</f>
        <v>146</v>
      </c>
    </row>
    <row r="190" spans="1:3" ht="15">
      <c r="A190" s="113" t="s">
        <v>3192</v>
      </c>
      <c r="B190" s="116" t="s">
        <v>289</v>
      </c>
      <c r="C190" s="112">
        <f>VLOOKUP("~"&amp;GroupVertices[[#This Row],[Vertex]],Vertices[],MATCH("ID",Vertices[[#Headers],[Vertex]:[Hashtags in Tweet by Salience]],0),FALSE)</f>
        <v>236</v>
      </c>
    </row>
    <row r="191" spans="1:3" ht="15">
      <c r="A191" s="113" t="s">
        <v>3192</v>
      </c>
      <c r="B191" s="116" t="s">
        <v>275</v>
      </c>
      <c r="C191" s="112">
        <f>VLOOKUP("~"&amp;GroupVertices[[#This Row],[Vertex]],Vertices[],MATCH("ID",Vertices[[#Headers],[Vertex]:[Hashtags in Tweet by Salience]],0),FALSE)</f>
        <v>233</v>
      </c>
    </row>
    <row r="192" spans="1:3" ht="15">
      <c r="A192" s="113" t="s">
        <v>3192</v>
      </c>
      <c r="B192" s="116" t="s">
        <v>399</v>
      </c>
      <c r="C192" s="112">
        <f>VLOOKUP("~"&amp;GroupVertices[[#This Row],[Vertex]],Vertices[],MATCH("ID",Vertices[[#Headers],[Vertex]:[Hashtags in Tweet by Salience]],0),FALSE)</f>
        <v>143</v>
      </c>
    </row>
    <row r="193" spans="1:3" ht="15">
      <c r="A193" s="113" t="s">
        <v>3192</v>
      </c>
      <c r="B193" s="116" t="s">
        <v>237</v>
      </c>
      <c r="C193" s="112">
        <f>VLOOKUP("~"&amp;GroupVertices[[#This Row],[Vertex]],Vertices[],MATCH("ID",Vertices[[#Headers],[Vertex]:[Hashtags in Tweet by Salience]],0),FALSE)</f>
        <v>240</v>
      </c>
    </row>
    <row r="194" spans="1:3" ht="15">
      <c r="A194" s="113" t="s">
        <v>3192</v>
      </c>
      <c r="B194" s="116" t="s">
        <v>354</v>
      </c>
      <c r="C194" s="112">
        <f>VLOOKUP("~"&amp;GroupVertices[[#This Row],[Vertex]],Vertices[],MATCH("ID",Vertices[[#Headers],[Vertex]:[Hashtags in Tweet by Salience]],0),FALSE)</f>
        <v>35</v>
      </c>
    </row>
    <row r="195" spans="1:3" ht="15">
      <c r="A195" s="113" t="s">
        <v>3193</v>
      </c>
      <c r="B195" s="116" t="s">
        <v>345</v>
      </c>
      <c r="C195" s="112">
        <f>VLOOKUP("~"&amp;GroupVertices[[#This Row],[Vertex]],Vertices[],MATCH("ID",Vertices[[#Headers],[Vertex]:[Hashtags in Tweet by Salience]],0),FALSE)</f>
        <v>36</v>
      </c>
    </row>
    <row r="196" spans="1:3" ht="15">
      <c r="A196" s="113" t="s">
        <v>3193</v>
      </c>
      <c r="B196" s="116" t="s">
        <v>224</v>
      </c>
      <c r="C196" s="112">
        <f>VLOOKUP("~"&amp;GroupVertices[[#This Row],[Vertex]],Vertices[],MATCH("ID",Vertices[[#Headers],[Vertex]:[Hashtags in Tweet by Salience]],0),FALSE)</f>
        <v>244</v>
      </c>
    </row>
    <row r="197" spans="1:3" ht="15">
      <c r="A197" s="113" t="s">
        <v>3193</v>
      </c>
      <c r="B197" s="116" t="s">
        <v>360</v>
      </c>
      <c r="C197" s="112">
        <f>VLOOKUP("~"&amp;GroupVertices[[#This Row],[Vertex]],Vertices[],MATCH("ID",Vertices[[#Headers],[Vertex]:[Hashtags in Tweet by Salience]],0),FALSE)</f>
        <v>144</v>
      </c>
    </row>
    <row r="198" spans="1:3" ht="15">
      <c r="A198" s="113" t="s">
        <v>3193</v>
      </c>
      <c r="B198" s="116" t="s">
        <v>361</v>
      </c>
      <c r="C198" s="112">
        <f>VLOOKUP("~"&amp;GroupVertices[[#This Row],[Vertex]],Vertices[],MATCH("ID",Vertices[[#Headers],[Vertex]:[Hashtags in Tweet by Salience]],0),FALSE)</f>
        <v>145</v>
      </c>
    </row>
    <row r="199" spans="1:3" ht="15">
      <c r="A199" s="113" t="s">
        <v>3193</v>
      </c>
      <c r="B199" s="116" t="s">
        <v>249</v>
      </c>
      <c r="C199" s="112">
        <f>VLOOKUP("~"&amp;GroupVertices[[#This Row],[Vertex]],Vertices[],MATCH("ID",Vertices[[#Headers],[Vertex]:[Hashtags in Tweet by Salience]],0),FALSE)</f>
        <v>234</v>
      </c>
    </row>
    <row r="200" spans="1:3" ht="15">
      <c r="A200" s="113" t="s">
        <v>3194</v>
      </c>
      <c r="B200" s="116" t="s">
        <v>373</v>
      </c>
      <c r="C200" s="112">
        <f>VLOOKUP("~"&amp;GroupVertices[[#This Row],[Vertex]],Vertices[],MATCH("ID",Vertices[[#Headers],[Vertex]:[Hashtags in Tweet by Salience]],0),FALSE)</f>
        <v>148</v>
      </c>
    </row>
    <row r="201" spans="1:3" ht="15">
      <c r="A201" s="113" t="s">
        <v>3194</v>
      </c>
      <c r="B201" s="116" t="s">
        <v>254</v>
      </c>
      <c r="C201" s="112">
        <f>VLOOKUP("~"&amp;GroupVertices[[#This Row],[Vertex]],Vertices[],MATCH("ID",Vertices[[#Headers],[Vertex]:[Hashtags in Tweet by Salience]],0),FALSE)</f>
        <v>235</v>
      </c>
    </row>
    <row r="202" spans="1:3" ht="15">
      <c r="A202" s="113" t="s">
        <v>3194</v>
      </c>
      <c r="B202" s="116" t="s">
        <v>372</v>
      </c>
      <c r="C202" s="112">
        <f>VLOOKUP("~"&amp;GroupVertices[[#This Row],[Vertex]],Vertices[],MATCH("ID",Vertices[[#Headers],[Vertex]:[Hashtags in Tweet by Salience]],0),FALSE)</f>
        <v>147</v>
      </c>
    </row>
    <row r="203" spans="1:3" ht="15">
      <c r="A203" s="113" t="s">
        <v>3194</v>
      </c>
      <c r="B203" s="116" t="s">
        <v>374</v>
      </c>
      <c r="C203" s="112">
        <f>VLOOKUP("~"&amp;GroupVertices[[#This Row],[Vertex]],Vertices[],MATCH("ID",Vertices[[#Headers],[Vertex]:[Hashtags in Tweet by Salience]],0),FALSE)</f>
        <v>149</v>
      </c>
    </row>
    <row r="204" spans="1:3" ht="15">
      <c r="A204" s="113" t="s">
        <v>3195</v>
      </c>
      <c r="B204" s="116" t="s">
        <v>323</v>
      </c>
      <c r="C204" s="112">
        <f>VLOOKUP("~"&amp;GroupVertices[[#This Row],[Vertex]],Vertices[],MATCH("ID",Vertices[[#Headers],[Vertex]:[Hashtags in Tweet by Salience]],0),FALSE)</f>
        <v>245</v>
      </c>
    </row>
    <row r="205" spans="1:3" ht="15">
      <c r="A205" s="113" t="s">
        <v>3195</v>
      </c>
      <c r="B205" s="116" t="s">
        <v>322</v>
      </c>
      <c r="C205" s="112">
        <f>VLOOKUP("~"&amp;GroupVertices[[#This Row],[Vertex]],Vertices[],MATCH("ID",Vertices[[#Headers],[Vertex]:[Hashtags in Tweet by Salience]],0),FALSE)</f>
        <v>19</v>
      </c>
    </row>
    <row r="206" spans="1:3" ht="15">
      <c r="A206" s="113" t="s">
        <v>3195</v>
      </c>
      <c r="B206" s="116" t="s">
        <v>321</v>
      </c>
      <c r="C206" s="112">
        <f>VLOOKUP("~"&amp;GroupVertices[[#This Row],[Vertex]],Vertices[],MATCH("ID",Vertices[[#Headers],[Vertex]:[Hashtags in Tweet by Salience]],0),FALSE)</f>
        <v>237</v>
      </c>
    </row>
    <row r="207" spans="1:3" ht="15">
      <c r="A207" s="113" t="s">
        <v>3195</v>
      </c>
      <c r="B207" s="116" t="s">
        <v>476</v>
      </c>
      <c r="C207" s="112">
        <f>VLOOKUP("~"&amp;GroupVertices[[#This Row],[Vertex]],Vertices[],MATCH("ID",Vertices[[#Headers],[Vertex]:[Hashtags in Tweet by Salience]],0),FALSE)</f>
        <v>150</v>
      </c>
    </row>
    <row r="208" spans="1:3" ht="15">
      <c r="A208" s="113" t="s">
        <v>3196</v>
      </c>
      <c r="B208" s="116" t="s">
        <v>291</v>
      </c>
      <c r="C208" s="112">
        <f>VLOOKUP("~"&amp;GroupVertices[[#This Row],[Vertex]],Vertices[],MATCH("ID",Vertices[[#Headers],[Vertex]:[Hashtags in Tweet by Salience]],0),FALSE)</f>
        <v>20</v>
      </c>
    </row>
    <row r="209" spans="1:3" ht="15">
      <c r="A209" s="113" t="s">
        <v>3196</v>
      </c>
      <c r="B209" s="116" t="s">
        <v>328</v>
      </c>
      <c r="C209" s="112">
        <f>VLOOKUP("~"&amp;GroupVertices[[#This Row],[Vertex]],Vertices[],MATCH("ID",Vertices[[#Headers],[Vertex]:[Hashtags in Tweet by Salience]],0),FALSE)</f>
        <v>8</v>
      </c>
    </row>
    <row r="210" spans="1:3" ht="15">
      <c r="A210" s="113" t="s">
        <v>3196</v>
      </c>
      <c r="B210" s="116" t="s">
        <v>263</v>
      </c>
      <c r="C210" s="112">
        <f>VLOOKUP("~"&amp;GroupVertices[[#This Row],[Vertex]],Vertices[],MATCH("ID",Vertices[[#Headers],[Vertex]:[Hashtags in Tweet by Salience]],0),FALSE)</f>
        <v>203</v>
      </c>
    </row>
    <row r="211" spans="1:3" ht="15">
      <c r="A211" s="113" t="s">
        <v>3196</v>
      </c>
      <c r="B211" s="116" t="s">
        <v>258</v>
      </c>
      <c r="C211" s="112">
        <f>VLOOKUP("~"&amp;GroupVertices[[#This Row],[Vertex]],Vertices[],MATCH("ID",Vertices[[#Headers],[Vertex]:[Hashtags in Tweet by Salience]],0),FALSE)</f>
        <v>44</v>
      </c>
    </row>
    <row r="212" spans="1:3" ht="15">
      <c r="A212" s="113" t="s">
        <v>3197</v>
      </c>
      <c r="B212" s="116" t="s">
        <v>403</v>
      </c>
      <c r="C212" s="112">
        <f>VLOOKUP("~"&amp;GroupVertices[[#This Row],[Vertex]],Vertices[],MATCH("ID",Vertices[[#Headers],[Vertex]:[Hashtags in Tweet by Salience]],0),FALSE)</f>
        <v>154</v>
      </c>
    </row>
    <row r="213" spans="1:3" ht="15">
      <c r="A213" s="113" t="s">
        <v>3197</v>
      </c>
      <c r="B213" s="116" t="s">
        <v>277</v>
      </c>
      <c r="C213" s="112">
        <f>VLOOKUP("~"&amp;GroupVertices[[#This Row],[Vertex]],Vertices[],MATCH("ID",Vertices[[#Headers],[Vertex]:[Hashtags in Tweet by Salience]],0),FALSE)</f>
        <v>239</v>
      </c>
    </row>
    <row r="214" spans="1:3" ht="15">
      <c r="A214" s="113" t="s">
        <v>3197</v>
      </c>
      <c r="B214" s="116" t="s">
        <v>402</v>
      </c>
      <c r="C214" s="112">
        <f>VLOOKUP("~"&amp;GroupVertices[[#This Row],[Vertex]],Vertices[],MATCH("ID",Vertices[[#Headers],[Vertex]:[Hashtags in Tweet by Salience]],0),FALSE)</f>
        <v>153</v>
      </c>
    </row>
    <row r="215" spans="1:3" ht="15">
      <c r="A215" s="113" t="s">
        <v>3198</v>
      </c>
      <c r="B215" s="116" t="s">
        <v>264</v>
      </c>
      <c r="C215" s="112">
        <f>VLOOKUP("~"&amp;GroupVertices[[#This Row],[Vertex]],Vertices[],MATCH("ID",Vertices[[#Headers],[Vertex]:[Hashtags in Tweet by Salience]],0),FALSE)</f>
        <v>241</v>
      </c>
    </row>
    <row r="216" spans="1:3" ht="15">
      <c r="A216" s="113" t="s">
        <v>3198</v>
      </c>
      <c r="B216" s="116" t="s">
        <v>379</v>
      </c>
      <c r="C216" s="112">
        <f>VLOOKUP("~"&amp;GroupVertices[[#This Row],[Vertex]],Vertices[],MATCH("ID",Vertices[[#Headers],[Vertex]:[Hashtags in Tweet by Salience]],0),FALSE)</f>
        <v>157</v>
      </c>
    </row>
    <row r="217" spans="1:3" ht="15">
      <c r="A217" s="113" t="s">
        <v>3198</v>
      </c>
      <c r="B217" s="116" t="s">
        <v>380</v>
      </c>
      <c r="C217" s="112">
        <f>VLOOKUP("~"&amp;GroupVertices[[#This Row],[Vertex]],Vertices[],MATCH("ID",Vertices[[#Headers],[Vertex]:[Hashtags in Tweet by Salience]],0),FALSE)</f>
        <v>160</v>
      </c>
    </row>
    <row r="218" spans="1:3" ht="15">
      <c r="A218" s="113" t="s">
        <v>3199</v>
      </c>
      <c r="B218" s="116" t="s">
        <v>239</v>
      </c>
      <c r="C218" s="112">
        <f>VLOOKUP("~"&amp;GroupVertices[[#This Row],[Vertex]],Vertices[],MATCH("ID",Vertices[[#Headers],[Vertex]:[Hashtags in Tweet by Salience]],0),FALSE)</f>
        <v>243</v>
      </c>
    </row>
    <row r="219" spans="1:3" ht="15">
      <c r="A219" s="113" t="s">
        <v>3199</v>
      </c>
      <c r="B219" s="116" t="s">
        <v>355</v>
      </c>
      <c r="C219" s="112">
        <f>VLOOKUP("~"&amp;GroupVertices[[#This Row],[Vertex]],Vertices[],MATCH("ID",Vertices[[#Headers],[Vertex]:[Hashtags in Tweet by Salience]],0),FALSE)</f>
        <v>155</v>
      </c>
    </row>
    <row r="220" spans="1:3" ht="15">
      <c r="A220" s="113" t="s">
        <v>3199</v>
      </c>
      <c r="B220" s="116" t="s">
        <v>356</v>
      </c>
      <c r="C220" s="112">
        <f>VLOOKUP("~"&amp;GroupVertices[[#This Row],[Vertex]],Vertices[],MATCH("ID",Vertices[[#Headers],[Vertex]:[Hashtags in Tweet by Salience]],0),FALSE)</f>
        <v>151</v>
      </c>
    </row>
    <row r="221" spans="1:3" ht="15">
      <c r="A221" s="113" t="s">
        <v>3200</v>
      </c>
      <c r="B221" s="116" t="s">
        <v>375</v>
      </c>
      <c r="C221" s="112">
        <f>VLOOKUP("~"&amp;GroupVertices[[#This Row],[Vertex]],Vertices[],MATCH("ID",Vertices[[#Headers],[Vertex]:[Hashtags in Tweet by Salience]],0),FALSE)</f>
        <v>152</v>
      </c>
    </row>
    <row r="222" spans="1:3" ht="15">
      <c r="A222" s="113" t="s">
        <v>3200</v>
      </c>
      <c r="B222" s="116" t="s">
        <v>256</v>
      </c>
      <c r="C222" s="112">
        <f>VLOOKUP("~"&amp;GroupVertices[[#This Row],[Vertex]],Vertices[],MATCH("ID",Vertices[[#Headers],[Vertex]:[Hashtags in Tweet by Salience]],0),FALSE)</f>
        <v>238</v>
      </c>
    </row>
    <row r="223" spans="1:3" ht="15">
      <c r="A223" s="113" t="s">
        <v>3200</v>
      </c>
      <c r="B223" s="116" t="s">
        <v>376</v>
      </c>
      <c r="C223" s="112">
        <f>VLOOKUP("~"&amp;GroupVertices[[#This Row],[Vertex]],Vertices[],MATCH("ID",Vertices[[#Headers],[Vertex]:[Hashtags in Tweet by Salience]],0),FALSE)</f>
        <v>156</v>
      </c>
    </row>
    <row r="224" spans="1:3" ht="15">
      <c r="A224" s="113" t="s">
        <v>3201</v>
      </c>
      <c r="B224" s="116" t="s">
        <v>282</v>
      </c>
      <c r="C224" s="112">
        <f>VLOOKUP("~"&amp;GroupVertices[[#This Row],[Vertex]],Vertices[],MATCH("ID",Vertices[[#Headers],[Vertex]:[Hashtags in Tweet by Salience]],0),FALSE)</f>
        <v>242</v>
      </c>
    </row>
    <row r="225" spans="1:3" ht="15">
      <c r="A225" s="113" t="s">
        <v>3201</v>
      </c>
      <c r="B225" s="116" t="s">
        <v>405</v>
      </c>
      <c r="C225" s="112">
        <f>VLOOKUP("~"&amp;GroupVertices[[#This Row],[Vertex]],Vertices[],MATCH("ID",Vertices[[#Headers],[Vertex]:[Hashtags in Tweet by Salience]],0),FALSE)</f>
        <v>159</v>
      </c>
    </row>
    <row r="226" spans="1:3" ht="15">
      <c r="A226" s="113" t="s">
        <v>3201</v>
      </c>
      <c r="B226" s="116" t="s">
        <v>406</v>
      </c>
      <c r="C226" s="112">
        <f>VLOOKUP("~"&amp;GroupVertices[[#This Row],[Vertex]],Vertices[],MATCH("ID",Vertices[[#Headers],[Vertex]:[Hashtags in Tweet by Salience]],0),FALSE)</f>
        <v>158</v>
      </c>
    </row>
    <row r="227" spans="1:3" ht="15">
      <c r="A227" s="113" t="s">
        <v>3202</v>
      </c>
      <c r="B227" s="116" t="s">
        <v>343</v>
      </c>
      <c r="C227" s="112">
        <f>VLOOKUP("~"&amp;GroupVertices[[#This Row],[Vertex]],Vertices[],MATCH("ID",Vertices[[#Headers],[Vertex]:[Hashtags in Tweet by Salience]],0),FALSE)</f>
        <v>248</v>
      </c>
    </row>
    <row r="228" spans="1:3" ht="15">
      <c r="A228" s="113" t="s">
        <v>3202</v>
      </c>
      <c r="B228" s="116" t="s">
        <v>480</v>
      </c>
      <c r="C228" s="112">
        <f>VLOOKUP("~"&amp;GroupVertices[[#This Row],[Vertex]],Vertices[],MATCH("ID",Vertices[[#Headers],[Vertex]:[Hashtags in Tweet by Salience]],0),FALSE)</f>
        <v>170</v>
      </c>
    </row>
    <row r="229" spans="1:3" ht="15">
      <c r="A229" s="113" t="s">
        <v>3203</v>
      </c>
      <c r="B229" s="116" t="s">
        <v>225</v>
      </c>
      <c r="C229" s="112">
        <f>VLOOKUP("~"&amp;GroupVertices[[#This Row],[Vertex]],Vertices[],MATCH("ID",Vertices[[#Headers],[Vertex]:[Hashtags in Tweet by Salience]],0),FALSE)</f>
        <v>261</v>
      </c>
    </row>
    <row r="230" spans="1:3" ht="15">
      <c r="A230" s="113" t="s">
        <v>3203</v>
      </c>
      <c r="B230" s="116" t="s">
        <v>346</v>
      </c>
      <c r="C230" s="112">
        <f>VLOOKUP("~"&amp;GroupVertices[[#This Row],[Vertex]],Vertices[],MATCH("ID",Vertices[[#Headers],[Vertex]:[Hashtags in Tweet by Salience]],0),FALSE)</f>
        <v>168</v>
      </c>
    </row>
    <row r="231" spans="1:3" ht="15">
      <c r="A231" s="113" t="s">
        <v>3204</v>
      </c>
      <c r="B231" s="116" t="s">
        <v>276</v>
      </c>
      <c r="C231" s="112">
        <f>VLOOKUP("~"&amp;GroupVertices[[#This Row],[Vertex]],Vertices[],MATCH("ID",Vertices[[#Headers],[Vertex]:[Hashtags in Tweet by Salience]],0),FALSE)</f>
        <v>257</v>
      </c>
    </row>
    <row r="232" spans="1:3" ht="15">
      <c r="A232" s="113" t="s">
        <v>3204</v>
      </c>
      <c r="B232" s="116" t="s">
        <v>401</v>
      </c>
      <c r="C232" s="112">
        <f>VLOOKUP("~"&amp;GroupVertices[[#This Row],[Vertex]],Vertices[],MATCH("ID",Vertices[[#Headers],[Vertex]:[Hashtags in Tweet by Salience]],0),FALSE)</f>
        <v>173</v>
      </c>
    </row>
    <row r="233" spans="1:3" ht="15">
      <c r="A233" s="113" t="s">
        <v>3205</v>
      </c>
      <c r="B233" s="116" t="s">
        <v>279</v>
      </c>
      <c r="C233" s="112">
        <f>VLOOKUP("~"&amp;GroupVertices[[#This Row],[Vertex]],Vertices[],MATCH("ID",Vertices[[#Headers],[Vertex]:[Hashtags in Tweet by Salience]],0),FALSE)</f>
        <v>260</v>
      </c>
    </row>
    <row r="234" spans="1:3" ht="15">
      <c r="A234" s="113" t="s">
        <v>3205</v>
      </c>
      <c r="B234" s="116" t="s">
        <v>404</v>
      </c>
      <c r="C234" s="112">
        <f>VLOOKUP("~"&amp;GroupVertices[[#This Row],[Vertex]],Vertices[],MATCH("ID",Vertices[[#Headers],[Vertex]:[Hashtags in Tweet by Salience]],0),FALSE)</f>
        <v>169</v>
      </c>
    </row>
    <row r="235" spans="1:3" ht="15">
      <c r="A235" s="113" t="s">
        <v>3206</v>
      </c>
      <c r="B235" s="116" t="s">
        <v>326</v>
      </c>
      <c r="C235" s="112">
        <f>VLOOKUP("~"&amp;GroupVertices[[#This Row],[Vertex]],Vertices[],MATCH("ID",Vertices[[#Headers],[Vertex]:[Hashtags in Tweet by Salience]],0),FALSE)</f>
        <v>258</v>
      </c>
    </row>
    <row r="236" spans="1:3" ht="15">
      <c r="A236" s="113" t="s">
        <v>3206</v>
      </c>
      <c r="B236" s="116" t="s">
        <v>477</v>
      </c>
      <c r="C236" s="112">
        <f>VLOOKUP("~"&amp;GroupVertices[[#This Row],[Vertex]],Vertices[],MATCH("ID",Vertices[[#Headers],[Vertex]:[Hashtags in Tweet by Salience]],0),FALSE)</f>
        <v>162</v>
      </c>
    </row>
    <row r="237" spans="1:3" ht="15">
      <c r="A237" s="113" t="s">
        <v>3207</v>
      </c>
      <c r="B237" s="116" t="s">
        <v>462</v>
      </c>
      <c r="C237" s="112">
        <f>VLOOKUP("~"&amp;GroupVertices[[#This Row],[Vertex]],Vertices[],MATCH("ID",Vertices[[#Headers],[Vertex]:[Hashtags in Tweet by Salience]],0),FALSE)</f>
        <v>161</v>
      </c>
    </row>
    <row r="238" spans="1:3" ht="15">
      <c r="A238" s="113" t="s">
        <v>3207</v>
      </c>
      <c r="B238" s="116" t="s">
        <v>293</v>
      </c>
      <c r="C238" s="112">
        <f>VLOOKUP("~"&amp;GroupVertices[[#This Row],[Vertex]],Vertices[],MATCH("ID",Vertices[[#Headers],[Vertex]:[Hashtags in Tweet by Salience]],0),FALSE)</f>
        <v>250</v>
      </c>
    </row>
    <row r="239" spans="1:3" ht="15">
      <c r="A239" s="113" t="s">
        <v>3208</v>
      </c>
      <c r="B239" s="116" t="s">
        <v>467</v>
      </c>
      <c r="C239" s="112">
        <f>VLOOKUP("~"&amp;GroupVertices[[#This Row],[Vertex]],Vertices[],MATCH("ID",Vertices[[#Headers],[Vertex]:[Hashtags in Tweet by Salience]],0),FALSE)</f>
        <v>163</v>
      </c>
    </row>
    <row r="240" spans="1:3" ht="15">
      <c r="A240" s="113" t="s">
        <v>3208</v>
      </c>
      <c r="B240" s="116" t="s">
        <v>307</v>
      </c>
      <c r="C240" s="112">
        <f>VLOOKUP("~"&amp;GroupVertices[[#This Row],[Vertex]],Vertices[],MATCH("ID",Vertices[[#Headers],[Vertex]:[Hashtags in Tweet by Salience]],0),FALSE)</f>
        <v>247</v>
      </c>
    </row>
    <row r="241" spans="1:3" ht="15">
      <c r="A241" s="113" t="s">
        <v>3209</v>
      </c>
      <c r="B241" s="116" t="s">
        <v>308</v>
      </c>
      <c r="C241" s="112">
        <f>VLOOKUP("~"&amp;GroupVertices[[#This Row],[Vertex]],Vertices[],MATCH("ID",Vertices[[#Headers],[Vertex]:[Hashtags in Tweet by Salience]],0),FALSE)</f>
        <v>246</v>
      </c>
    </row>
    <row r="242" spans="1:3" ht="15">
      <c r="A242" s="113" t="s">
        <v>3209</v>
      </c>
      <c r="B242" s="116" t="s">
        <v>468</v>
      </c>
      <c r="C242" s="112">
        <f>VLOOKUP("~"&amp;GroupVertices[[#This Row],[Vertex]],Vertices[],MATCH("ID",Vertices[[#Headers],[Vertex]:[Hashtags in Tweet by Salience]],0),FALSE)</f>
        <v>172</v>
      </c>
    </row>
    <row r="243" spans="1:3" ht="15">
      <c r="A243" s="113" t="s">
        <v>3210</v>
      </c>
      <c r="B243" s="116" t="s">
        <v>311</v>
      </c>
      <c r="C243" s="112">
        <f>VLOOKUP("~"&amp;GroupVertices[[#This Row],[Vertex]],Vertices[],MATCH("ID",Vertices[[#Headers],[Vertex]:[Hashtags in Tweet by Salience]],0),FALSE)</f>
        <v>254</v>
      </c>
    </row>
    <row r="244" spans="1:3" ht="15">
      <c r="A244" s="113" t="s">
        <v>3210</v>
      </c>
      <c r="B244" s="116" t="s">
        <v>469</v>
      </c>
      <c r="C244" s="112">
        <f>VLOOKUP("~"&amp;GroupVertices[[#This Row],[Vertex]],Vertices[],MATCH("ID",Vertices[[#Headers],[Vertex]:[Hashtags in Tweet by Salience]],0),FALSE)</f>
        <v>166</v>
      </c>
    </row>
    <row r="245" spans="1:3" ht="15">
      <c r="A245" s="113" t="s">
        <v>3211</v>
      </c>
      <c r="B245" s="116" t="s">
        <v>296</v>
      </c>
      <c r="C245" s="112">
        <f>VLOOKUP("~"&amp;GroupVertices[[#This Row],[Vertex]],Vertices[],MATCH("ID",Vertices[[#Headers],[Vertex]:[Hashtags in Tweet by Salience]],0),FALSE)</f>
        <v>252</v>
      </c>
    </row>
    <row r="246" spans="1:3" ht="15">
      <c r="A246" s="113" t="s">
        <v>3211</v>
      </c>
      <c r="B246" s="116" t="s">
        <v>466</v>
      </c>
      <c r="C246" s="112">
        <f>VLOOKUP("~"&amp;GroupVertices[[#This Row],[Vertex]],Vertices[],MATCH("ID",Vertices[[#Headers],[Vertex]:[Hashtags in Tweet by Salience]],0),FALSE)</f>
        <v>167</v>
      </c>
    </row>
    <row r="247" spans="1:3" ht="15">
      <c r="A247" s="113" t="s">
        <v>3212</v>
      </c>
      <c r="B247" s="116" t="s">
        <v>265</v>
      </c>
      <c r="C247" s="112">
        <f>VLOOKUP("~"&amp;GroupVertices[[#This Row],[Vertex]],Vertices[],MATCH("ID",Vertices[[#Headers],[Vertex]:[Hashtags in Tweet by Salience]],0),FALSE)</f>
        <v>255</v>
      </c>
    </row>
    <row r="248" spans="1:3" ht="15">
      <c r="A248" s="113" t="s">
        <v>3212</v>
      </c>
      <c r="B248" s="116" t="s">
        <v>381</v>
      </c>
      <c r="C248" s="112">
        <f>VLOOKUP("~"&amp;GroupVertices[[#This Row],[Vertex]],Vertices[],MATCH("ID",Vertices[[#Headers],[Vertex]:[Hashtags in Tweet by Salience]],0),FALSE)</f>
        <v>165</v>
      </c>
    </row>
    <row r="249" spans="1:3" ht="15">
      <c r="A249" s="113" t="s">
        <v>3213</v>
      </c>
      <c r="B249" s="116" t="s">
        <v>266</v>
      </c>
      <c r="C249" s="112">
        <f>VLOOKUP("~"&amp;GroupVertices[[#This Row],[Vertex]],Vertices[],MATCH("ID",Vertices[[#Headers],[Vertex]:[Hashtags in Tweet by Salience]],0),FALSE)</f>
        <v>253</v>
      </c>
    </row>
    <row r="250" spans="1:3" ht="15">
      <c r="A250" s="113" t="s">
        <v>3213</v>
      </c>
      <c r="B250" s="116" t="s">
        <v>382</v>
      </c>
      <c r="C250" s="112">
        <f>VLOOKUP("~"&amp;GroupVertices[[#This Row],[Vertex]],Vertices[],MATCH("ID",Vertices[[#Headers],[Vertex]:[Hashtags in Tweet by Salience]],0),FALSE)</f>
        <v>164</v>
      </c>
    </row>
    <row r="251" spans="1:3" ht="15">
      <c r="A251" s="113" t="s">
        <v>3214</v>
      </c>
      <c r="B251" s="116" t="s">
        <v>324</v>
      </c>
      <c r="C251" s="112">
        <f>VLOOKUP("~"&amp;GroupVertices[[#This Row],[Vertex]],Vertices[],MATCH("ID",Vertices[[#Headers],[Vertex]:[Hashtags in Tweet by Salience]],0),FALSE)</f>
        <v>40</v>
      </c>
    </row>
    <row r="252" spans="1:3" ht="15">
      <c r="A252" s="113" t="s">
        <v>3214</v>
      </c>
      <c r="B252" s="116" t="s">
        <v>325</v>
      </c>
      <c r="C252" s="112">
        <f>VLOOKUP("~"&amp;GroupVertices[[#This Row],[Vertex]],Vertices[],MATCH("ID",Vertices[[#Headers],[Vertex]:[Hashtags in Tweet by Salience]],0),FALSE)</f>
        <v>249</v>
      </c>
    </row>
    <row r="253" spans="1:3" ht="15">
      <c r="A253" s="113" t="s">
        <v>3493</v>
      </c>
      <c r="B253" s="116" t="s">
        <v>320</v>
      </c>
      <c r="C253" s="112">
        <f>VLOOKUP("~"&amp;GroupVertices[[#This Row],[Vertex]],Vertices[],MATCH("ID",Vertices[[#Headers],[Vertex]:[Hashtags in Tweet by Salience]],0),FALSE)</f>
        <v>38</v>
      </c>
    </row>
    <row r="254" spans="1:3" ht="15">
      <c r="A254" s="113" t="s">
        <v>3493</v>
      </c>
      <c r="B254" s="116" t="s">
        <v>313</v>
      </c>
      <c r="C254" s="112">
        <f>VLOOKUP("~"&amp;GroupVertices[[#This Row],[Vertex]],Vertices[],MATCH("ID",Vertices[[#Headers],[Vertex]:[Hashtags in Tweet by Salience]],0),FALSE)</f>
        <v>256</v>
      </c>
    </row>
    <row r="255" spans="1:3" ht="15">
      <c r="A255" s="113" t="s">
        <v>3494</v>
      </c>
      <c r="B255" s="116" t="s">
        <v>271</v>
      </c>
      <c r="C255" s="112">
        <f>VLOOKUP("~"&amp;GroupVertices[[#This Row],[Vertex]],Vertices[],MATCH("ID",Vertices[[#Headers],[Vertex]:[Hashtags in Tweet by Salience]],0),FALSE)</f>
        <v>41</v>
      </c>
    </row>
    <row r="256" spans="1:3" ht="15">
      <c r="A256" s="113" t="s">
        <v>3494</v>
      </c>
      <c r="B256" s="116" t="s">
        <v>233</v>
      </c>
      <c r="C256" s="112">
        <f>VLOOKUP("~"&amp;GroupVertices[[#This Row],[Vertex]],Vertices[],MATCH("ID",Vertices[[#Headers],[Vertex]:[Hashtags in Tweet by Salience]],0),FALSE)</f>
        <v>251</v>
      </c>
    </row>
    <row r="257" spans="1:3" ht="15">
      <c r="A257" s="113" t="s">
        <v>3495</v>
      </c>
      <c r="B257" s="116" t="s">
        <v>305</v>
      </c>
      <c r="C257" s="112">
        <f>VLOOKUP("~"&amp;GroupVertices[[#This Row],[Vertex]],Vertices[],MATCH("ID",Vertices[[#Headers],[Vertex]:[Hashtags in Tweet by Salience]],0),FALSE)</f>
        <v>37</v>
      </c>
    </row>
    <row r="258" spans="1:3" ht="15">
      <c r="A258" s="113" t="s">
        <v>3495</v>
      </c>
      <c r="B258" s="116" t="s">
        <v>306</v>
      </c>
      <c r="C258" s="112">
        <f>VLOOKUP("~"&amp;GroupVertices[[#This Row],[Vertex]],Vertices[],MATCH("ID",Vertices[[#Headers],[Vertex]:[Hashtags in Tweet by Salience]],0),FALSE)</f>
        <v>259</v>
      </c>
    </row>
    <row r="259" spans="1:3" ht="15">
      <c r="A259" s="113" t="s">
        <v>3496</v>
      </c>
      <c r="B259" s="116" t="s">
        <v>281</v>
      </c>
      <c r="C259" s="112">
        <f>VLOOKUP("~"&amp;GroupVertices[[#This Row],[Vertex]],Vertices[],MATCH("ID",Vertices[[#Headers],[Vertex]:[Hashtags in Tweet by Salience]],0),FALSE)</f>
        <v>39</v>
      </c>
    </row>
    <row r="260" spans="1:3" ht="15">
      <c r="A260" s="113" t="s">
        <v>3496</v>
      </c>
      <c r="B260" s="116" t="s">
        <v>248</v>
      </c>
      <c r="C260" s="112">
        <f>VLOOKUP("~"&amp;GroupVertices[[#This Row],[Vertex]],Vertices[],MATCH("ID",Vertices[[#Headers],[Vertex]:[Hashtags in Tweet by Salience]],0),FALSE)</f>
        <v>171</v>
      </c>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sheetData>
  <dataValidations count="3" xWindow="58" yWindow="226">
    <dataValidation allowBlank="1" showInputMessage="1" showErrorMessage="1" promptTitle="Group Name" prompt="Enter the name of the group.  The group name must also be entered on the Groups worksheet." sqref="A2:A260"/>
    <dataValidation allowBlank="1" showInputMessage="1" showErrorMessage="1" promptTitle="Vertex Name" prompt="Enter the name of a vertex to include in the group." sqref="B2:B260"/>
    <dataValidation allowBlank="1" showInputMessage="1" promptTitle="Vertex ID" prompt="This is the value of the hidden ID cell in the Vertices worksheet.  It gets filled in by the items on the NodeXL, Analysis, Groups menu." sqref="C2:C2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79">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161</v>
      </c>
      <c r="B1" s="7" t="s">
        <v>17</v>
      </c>
      <c r="D1" t="s">
        <v>79</v>
      </c>
      <c r="E1" t="s">
        <v>80</v>
      </c>
      <c r="F1" s="31" t="s">
        <v>86</v>
      </c>
      <c r="G1" s="32" t="s">
        <v>87</v>
      </c>
      <c r="H1" s="31" t="s">
        <v>92</v>
      </c>
      <c r="I1" s="32" t="s">
        <v>93</v>
      </c>
      <c r="J1" s="31" t="s">
        <v>98</v>
      </c>
      <c r="K1" s="32" t="s">
        <v>99</v>
      </c>
      <c r="L1" s="31" t="s">
        <v>104</v>
      </c>
      <c r="M1" s="32" t="s">
        <v>105</v>
      </c>
      <c r="N1" s="31" t="s">
        <v>110</v>
      </c>
      <c r="O1" s="32" t="s">
        <v>111</v>
      </c>
      <c r="P1" s="32" t="s">
        <v>137</v>
      </c>
      <c r="Q1" s="32" t="s">
        <v>138</v>
      </c>
      <c r="R1" s="31" t="s">
        <v>116</v>
      </c>
      <c r="S1" s="31" t="s">
        <v>117</v>
      </c>
      <c r="T1" s="31" t="s">
        <v>122</v>
      </c>
      <c r="U1" s="32" t="s">
        <v>123</v>
      </c>
      <c r="W1" t="s">
        <v>127</v>
      </c>
      <c r="X1" t="s">
        <v>17</v>
      </c>
    </row>
    <row r="2" spans="1:24" ht="15.75" thickTop="1">
      <c r="A2" s="30" t="s">
        <v>2587</v>
      </c>
      <c r="B2" s="30" t="s">
        <v>2346</v>
      </c>
      <c r="D2" s="28">
        <f>MIN(Vertices[Degree])</f>
        <v>0</v>
      </c>
      <c r="E2">
        <f>COUNTIF(Vertices[Degree],"&gt;= "&amp;D2)-COUNTIF(Vertices[Degree],"&gt;="&amp;D3)</f>
        <v>0</v>
      </c>
      <c r="F2" s="33">
        <f>MIN(Vertices[In-Degree])</f>
        <v>0</v>
      </c>
      <c r="G2" s="34">
        <f>COUNTIF(Vertices[In-Degree],"&gt;= "&amp;F2)-COUNTIF(Vertices[In-Degree],"&gt;="&amp;F3)</f>
        <v>70</v>
      </c>
      <c r="H2" s="33">
        <f>MIN(Vertices[Out-Degree])</f>
        <v>0</v>
      </c>
      <c r="I2" s="34">
        <f>COUNTIF(Vertices[Out-Degree],"&gt;= "&amp;H2)-COUNTIF(Vertices[Out-Degree],"&gt;="&amp;H3)</f>
        <v>225</v>
      </c>
      <c r="J2" s="33">
        <f>MIN(Vertices[Betweenness Centrality])</f>
        <v>0</v>
      </c>
      <c r="K2" s="34">
        <f>COUNTIF(Vertices[Betweenness Centrality],"&gt;= "&amp;J2)-COUNTIF(Vertices[Betweenness Centrality],"&gt;="&amp;J3)</f>
        <v>229</v>
      </c>
      <c r="L2" s="33">
        <f>MIN(Vertices[Closeness Centrality])</f>
        <v>0</v>
      </c>
      <c r="M2" s="34">
        <f>COUNTIF(Vertices[Closeness Centrality],"&gt;= "&amp;L2)-COUNTIF(Vertices[Closeness Centrality],"&gt;="&amp;L3)</f>
        <v>62</v>
      </c>
      <c r="N2" s="33">
        <f>MIN(Vertices[Eigenvector Centrality])</f>
        <v>0</v>
      </c>
      <c r="O2" s="34">
        <f>COUNTIF(Vertices[Eigenvector Centrality],"&gt;= "&amp;N2)-COUNTIF(Vertices[Eigenvector Centrality],"&gt;="&amp;N3)</f>
        <v>212</v>
      </c>
      <c r="P2" s="33">
        <f>MIN(Vertices[PageRank])</f>
        <v>0.003344</v>
      </c>
      <c r="Q2" s="34">
        <f>COUNTIF(Vertices[PageRank],"&gt;= "&amp;P2)-COUNTIF(Vertices[PageRank],"&gt;="&amp;P3)</f>
        <v>216</v>
      </c>
      <c r="R2" s="33">
        <f>MIN(Vertices[Clustering Coefficient])</f>
        <v>0</v>
      </c>
      <c r="S2" s="39">
        <f>COUNTIF(Vertices[Clustering Coefficient],"&gt;= "&amp;R2)-COUNTIF(Vertices[Clustering Coefficient],"&gt;="&amp;R3)</f>
        <v>255</v>
      </c>
      <c r="T2" s="33">
        <f ca="1">MIN(INDIRECT(DynamicFilterSourceColumnRange))</f>
        <v>39399.90539351852</v>
      </c>
      <c r="U2" s="34">
        <f aca="true" t="shared" si="0" ref="U2:U25">COUNTIF(INDIRECT(DynamicFilterSourceColumnRange),"&gt;= "&amp;T2)-COUNTIF(INDIRECT(DynamicFilterSourceColumnRange),"&gt;="&amp;T3)</f>
        <v>1</v>
      </c>
      <c r="W2" t="s">
        <v>124</v>
      </c>
      <c r="X2">
        <f>ROWS(HistogramBins[Degree Bin])-1</f>
        <v>34</v>
      </c>
    </row>
    <row r="3" spans="1:24" ht="15">
      <c r="A3" s="96"/>
      <c r="B3" s="96"/>
      <c r="D3" s="28">
        <f aca="true" t="shared" si="1" ref="D3:D35">D2+($D$36-$D$2)/BinDivisor</f>
        <v>0</v>
      </c>
      <c r="E3">
        <f>COUNTIF(Vertices[Degree],"&gt;= "&amp;D3)-COUNTIF(Vertices[Degree],"&gt;="&amp;D4)</f>
        <v>0</v>
      </c>
      <c r="F3" s="35">
        <f aca="true" t="shared" si="2" ref="F3:F35">F2+($F$36-$F$2)/BinDivisor</f>
        <v>0.35294117647058826</v>
      </c>
      <c r="G3" s="36">
        <f>COUNTIF(Vertices[In-Degree],"&gt;= "&amp;F3)-COUNTIF(Vertices[In-Degree],"&gt;="&amp;F4)</f>
        <v>0</v>
      </c>
      <c r="H3" s="35">
        <f aca="true" t="shared" si="3" ref="H3:H35">H2+($H$36-$H$2)/BinDivisor</f>
        <v>1.088235294117647</v>
      </c>
      <c r="I3" s="36">
        <f>COUNTIF(Vertices[Out-Degree],"&gt;= "&amp;H3)-COUNTIF(Vertices[Out-Degree],"&gt;="&amp;H4)</f>
        <v>13</v>
      </c>
      <c r="J3" s="35">
        <f aca="true" t="shared" si="4" ref="J3:J35">J2+($J$36-$J$2)/BinDivisor</f>
        <v>371.09274726470585</v>
      </c>
      <c r="K3" s="36">
        <f>COUNTIF(Vertices[Betweenness Centrality],"&gt;= "&amp;J3)-COUNTIF(Vertices[Betweenness Centrality],"&gt;="&amp;J4)</f>
        <v>7</v>
      </c>
      <c r="L3" s="35">
        <f aca="true" t="shared" si="5" ref="L3:L35">L2+($L$36-$L$2)/BinDivisor</f>
        <v>0.005618117647058823</v>
      </c>
      <c r="M3" s="36">
        <f>COUNTIF(Vertices[Closeness Centrality],"&gt;= "&amp;L3)-COUNTIF(Vertices[Closeness Centrality],"&gt;="&amp;L4)</f>
        <v>21</v>
      </c>
      <c r="N3" s="35">
        <f aca="true" t="shared" si="6" ref="N3:N35">N2+($N$36-$N$2)/BinDivisor</f>
        <v>0.011487882352941176</v>
      </c>
      <c r="O3" s="36">
        <f>COUNTIF(Vertices[Eigenvector Centrality],"&gt;= "&amp;N3)-COUNTIF(Vertices[Eigenvector Centrality],"&gt;="&amp;N4)</f>
        <v>5</v>
      </c>
      <c r="P3" s="35">
        <f aca="true" t="shared" si="7" ref="P3:P35">P2+($P$36-$P$2)/BinDivisor</f>
        <v>0.003882794117647059</v>
      </c>
      <c r="Q3" s="36">
        <f>COUNTIF(Vertices[PageRank],"&gt;= "&amp;P3)-COUNTIF(Vertices[PageRank],"&gt;="&amp;P4)</f>
        <v>23</v>
      </c>
      <c r="R3" s="35">
        <f aca="true" t="shared" si="8" ref="R3:R35">R2+($R$36-$R$2)/BinDivisor</f>
        <v>0.014705882352941176</v>
      </c>
      <c r="S3" s="40">
        <f>COUNTIF(Vertices[Clustering Coefficient],"&gt;= "&amp;R3)-COUNTIF(Vertices[Clustering Coefficient],"&gt;="&amp;R4)</f>
        <v>1</v>
      </c>
      <c r="T3" s="35">
        <f aca="true" t="shared" si="9" ref="T3:T35">T2+($T$36-$T$2)/BinDivisor</f>
        <v>39562.04267837691</v>
      </c>
      <c r="U3" s="36">
        <f ca="1" t="shared" si="0"/>
        <v>1</v>
      </c>
      <c r="W3" t="s">
        <v>125</v>
      </c>
      <c r="X3" t="s">
        <v>85</v>
      </c>
    </row>
    <row r="4" spans="1:24" ht="15">
      <c r="A4" s="30" t="s">
        <v>145</v>
      </c>
      <c r="B4" s="30">
        <v>259</v>
      </c>
      <c r="D4" s="28">
        <f t="shared" si="1"/>
        <v>0</v>
      </c>
      <c r="E4">
        <f>COUNTIF(Vertices[Degree],"&gt;= "&amp;D4)-COUNTIF(Vertices[Degree],"&gt;="&amp;D5)</f>
        <v>0</v>
      </c>
      <c r="F4" s="33">
        <f t="shared" si="2"/>
        <v>0.7058823529411765</v>
      </c>
      <c r="G4" s="34">
        <f>COUNTIF(Vertices[In-Degree],"&gt;= "&amp;F4)-COUNTIF(Vertices[In-Degree],"&gt;="&amp;F5)</f>
        <v>150</v>
      </c>
      <c r="H4" s="33">
        <f t="shared" si="3"/>
        <v>2.176470588235294</v>
      </c>
      <c r="I4" s="34">
        <f>COUNTIF(Vertices[Out-Degree],"&gt;= "&amp;H4)-COUNTIF(Vertices[Out-Degree],"&gt;="&amp;H5)</f>
        <v>7</v>
      </c>
      <c r="J4" s="33">
        <f t="shared" si="4"/>
        <v>742.1854945294117</v>
      </c>
      <c r="K4" s="34">
        <f>COUNTIF(Vertices[Betweenness Centrality],"&gt;= "&amp;J4)-COUNTIF(Vertices[Betweenness Centrality],"&gt;="&amp;J5)</f>
        <v>2</v>
      </c>
      <c r="L4" s="33">
        <f t="shared" si="5"/>
        <v>0.011236235294117646</v>
      </c>
      <c r="M4" s="34">
        <f>COUNTIF(Vertices[Closeness Centrality],"&gt;= "&amp;L4)-COUNTIF(Vertices[Closeness Centrality],"&gt;="&amp;L5)</f>
        <v>10</v>
      </c>
      <c r="N4" s="33">
        <f t="shared" si="6"/>
        <v>0.022975764705882352</v>
      </c>
      <c r="O4" s="34">
        <f>COUNTIF(Vertices[Eigenvector Centrality],"&gt;= "&amp;N4)-COUNTIF(Vertices[Eigenvector Centrality],"&gt;="&amp;N5)</f>
        <v>3</v>
      </c>
      <c r="P4" s="33">
        <f t="shared" si="7"/>
        <v>0.004421588235294118</v>
      </c>
      <c r="Q4" s="34">
        <f>COUNTIF(Vertices[PageRank],"&gt;= "&amp;P4)-COUNTIF(Vertices[PageRank],"&gt;="&amp;P5)</f>
        <v>6</v>
      </c>
      <c r="R4" s="33">
        <f t="shared" si="8"/>
        <v>0.029411764705882353</v>
      </c>
      <c r="S4" s="39">
        <f>COUNTIF(Vertices[Clustering Coefficient],"&gt;= "&amp;R4)-COUNTIF(Vertices[Clustering Coefficient],"&gt;="&amp;R5)</f>
        <v>0</v>
      </c>
      <c r="T4" s="33">
        <f ca="1" t="shared" si="9"/>
        <v>39724.17996323529</v>
      </c>
      <c r="U4" s="34">
        <f ca="1" t="shared" si="0"/>
        <v>3</v>
      </c>
      <c r="W4" t="s">
        <v>126</v>
      </c>
      <c r="X4" t="s">
        <v>3492</v>
      </c>
    </row>
    <row r="5" spans="1:21" ht="15">
      <c r="A5" s="96"/>
      <c r="B5" s="96"/>
      <c r="D5" s="28">
        <f t="shared" si="1"/>
        <v>0</v>
      </c>
      <c r="E5">
        <f>COUNTIF(Vertices[Degree],"&gt;= "&amp;D5)-COUNTIF(Vertices[Degree],"&gt;="&amp;D6)</f>
        <v>0</v>
      </c>
      <c r="F5" s="35">
        <f t="shared" si="2"/>
        <v>1.0588235294117647</v>
      </c>
      <c r="G5" s="36">
        <f>COUNTIF(Vertices[In-Degree],"&gt;= "&amp;F5)-COUNTIF(Vertices[In-Degree],"&gt;="&amp;F6)</f>
        <v>0</v>
      </c>
      <c r="H5" s="35">
        <f t="shared" si="3"/>
        <v>3.264705882352941</v>
      </c>
      <c r="I5" s="36">
        <f>COUNTIF(Vertices[Out-Degree],"&gt;= "&amp;H5)-COUNTIF(Vertices[Out-Degree],"&gt;="&amp;H6)</f>
        <v>2</v>
      </c>
      <c r="J5" s="35">
        <f t="shared" si="4"/>
        <v>1113.2782417941175</v>
      </c>
      <c r="K5" s="36">
        <f>COUNTIF(Vertices[Betweenness Centrality],"&gt;= "&amp;J5)-COUNTIF(Vertices[Betweenness Centrality],"&gt;="&amp;J6)</f>
        <v>5</v>
      </c>
      <c r="L5" s="35">
        <f t="shared" si="5"/>
        <v>0.01685435294117647</v>
      </c>
      <c r="M5" s="36">
        <f>COUNTIF(Vertices[Closeness Centrality],"&gt;= "&amp;L5)-COUNTIF(Vertices[Closeness Centrality],"&gt;="&amp;L6)</f>
        <v>10</v>
      </c>
      <c r="N5" s="35">
        <f t="shared" si="6"/>
        <v>0.03446364705882353</v>
      </c>
      <c r="O5" s="36">
        <f>COUNTIF(Vertices[Eigenvector Centrality],"&gt;= "&amp;N5)-COUNTIF(Vertices[Eigenvector Centrality],"&gt;="&amp;N6)</f>
        <v>1</v>
      </c>
      <c r="P5" s="35">
        <f t="shared" si="7"/>
        <v>0.004960382352941177</v>
      </c>
      <c r="Q5" s="36">
        <f>COUNTIF(Vertices[PageRank],"&gt;= "&amp;P5)-COUNTIF(Vertices[PageRank],"&gt;="&amp;P6)</f>
        <v>2</v>
      </c>
      <c r="R5" s="35">
        <f t="shared" si="8"/>
        <v>0.044117647058823525</v>
      </c>
      <c r="S5" s="40">
        <f>COUNTIF(Vertices[Clustering Coefficient],"&gt;= "&amp;R5)-COUNTIF(Vertices[Clustering Coefficient],"&gt;="&amp;R6)</f>
        <v>0</v>
      </c>
      <c r="T5" s="35">
        <f ca="1" t="shared" si="9"/>
        <v>39886.31724809368</v>
      </c>
      <c r="U5" s="36">
        <f ca="1" t="shared" si="0"/>
        <v>13</v>
      </c>
    </row>
    <row r="6" spans="1:21" ht="15">
      <c r="A6" s="30" t="s">
        <v>147</v>
      </c>
      <c r="B6" s="30">
        <v>286</v>
      </c>
      <c r="D6" s="28">
        <f t="shared" si="1"/>
        <v>0</v>
      </c>
      <c r="E6">
        <f>COUNTIF(Vertices[Degree],"&gt;= "&amp;D6)-COUNTIF(Vertices[Degree],"&gt;="&amp;D7)</f>
        <v>0</v>
      </c>
      <c r="F6" s="33">
        <f t="shared" si="2"/>
        <v>1.411764705882353</v>
      </c>
      <c r="G6" s="34">
        <f>COUNTIF(Vertices[In-Degree],"&gt;= "&amp;F6)-COUNTIF(Vertices[In-Degree],"&gt;="&amp;F7)</f>
        <v>0</v>
      </c>
      <c r="H6" s="33">
        <f t="shared" si="3"/>
        <v>4.352941176470588</v>
      </c>
      <c r="I6" s="34">
        <f>COUNTIF(Vertices[Out-Degree],"&gt;= "&amp;H6)-COUNTIF(Vertices[Out-Degree],"&gt;="&amp;H7)</f>
        <v>2</v>
      </c>
      <c r="J6" s="33">
        <f t="shared" si="4"/>
        <v>1484.3709890588234</v>
      </c>
      <c r="K6" s="34">
        <f>COUNTIF(Vertices[Betweenness Centrality],"&gt;= "&amp;J6)-COUNTIF(Vertices[Betweenness Centrality],"&gt;="&amp;J7)</f>
        <v>4</v>
      </c>
      <c r="L6" s="33">
        <f t="shared" si="5"/>
        <v>0.02247247058823529</v>
      </c>
      <c r="M6" s="34">
        <f>COUNTIF(Vertices[Closeness Centrality],"&gt;= "&amp;L6)-COUNTIF(Vertices[Closeness Centrality],"&gt;="&amp;L7)</f>
        <v>1</v>
      </c>
      <c r="N6" s="33">
        <f t="shared" si="6"/>
        <v>0.045951529411764704</v>
      </c>
      <c r="O6" s="34">
        <f>COUNTIF(Vertices[Eigenvector Centrality],"&gt;= "&amp;N6)-COUNTIF(Vertices[Eigenvector Centrality],"&gt;="&amp;N7)</f>
        <v>0</v>
      </c>
      <c r="P6" s="33">
        <f t="shared" si="7"/>
        <v>0.0054991764705882365</v>
      </c>
      <c r="Q6" s="34">
        <f>COUNTIF(Vertices[PageRank],"&gt;= "&amp;P6)-COUNTIF(Vertices[PageRank],"&gt;="&amp;P7)</f>
        <v>3</v>
      </c>
      <c r="R6" s="33">
        <f t="shared" si="8"/>
        <v>0.058823529411764705</v>
      </c>
      <c r="S6" s="39">
        <f>COUNTIF(Vertices[Clustering Coefficient],"&gt;= "&amp;R6)-COUNTIF(Vertices[Clustering Coefficient],"&gt;="&amp;R7)</f>
        <v>0</v>
      </c>
      <c r="T6" s="33">
        <f ca="1" t="shared" si="9"/>
        <v>40048.45453295206</v>
      </c>
      <c r="U6" s="34">
        <f ca="1" t="shared" si="0"/>
        <v>17</v>
      </c>
    </row>
    <row r="7" spans="1:21" ht="15">
      <c r="A7" s="30" t="s">
        <v>148</v>
      </c>
      <c r="B7" s="30">
        <v>0</v>
      </c>
      <c r="D7" s="28">
        <f t="shared" si="1"/>
        <v>0</v>
      </c>
      <c r="E7">
        <f>COUNTIF(Vertices[Degree],"&gt;= "&amp;D7)-COUNTIF(Vertices[Degree],"&gt;="&amp;D8)</f>
        <v>0</v>
      </c>
      <c r="F7" s="35">
        <f t="shared" si="2"/>
        <v>1.7647058823529413</v>
      </c>
      <c r="G7" s="36">
        <f>COUNTIF(Vertices[In-Degree],"&gt;= "&amp;F7)-COUNTIF(Vertices[In-Degree],"&gt;="&amp;F8)</f>
        <v>22</v>
      </c>
      <c r="H7" s="35">
        <f t="shared" si="3"/>
        <v>5.441176470588235</v>
      </c>
      <c r="I7" s="36">
        <f>COUNTIF(Vertices[Out-Degree],"&gt;= "&amp;H7)-COUNTIF(Vertices[Out-Degree],"&gt;="&amp;H8)</f>
        <v>3</v>
      </c>
      <c r="J7" s="35">
        <f t="shared" si="4"/>
        <v>1855.4637363235292</v>
      </c>
      <c r="K7" s="36">
        <f>COUNTIF(Vertices[Betweenness Centrality],"&gt;= "&amp;J7)-COUNTIF(Vertices[Betweenness Centrality],"&gt;="&amp;J8)</f>
        <v>3</v>
      </c>
      <c r="L7" s="35">
        <f t="shared" si="5"/>
        <v>0.028090588235294114</v>
      </c>
      <c r="M7" s="36">
        <f>COUNTIF(Vertices[Closeness Centrality],"&gt;= "&amp;L7)-COUNTIF(Vertices[Closeness Centrality],"&gt;="&amp;L8)</f>
        <v>0</v>
      </c>
      <c r="N7" s="35">
        <f t="shared" si="6"/>
        <v>0.05743941176470588</v>
      </c>
      <c r="O7" s="36">
        <f>COUNTIF(Vertices[Eigenvector Centrality],"&gt;= "&amp;N7)-COUNTIF(Vertices[Eigenvector Centrality],"&gt;="&amp;N8)</f>
        <v>0</v>
      </c>
      <c r="P7" s="35">
        <f t="shared" si="7"/>
        <v>0.006037970588235296</v>
      </c>
      <c r="Q7" s="36">
        <f>COUNTIF(Vertices[PageRank],"&gt;= "&amp;P7)-COUNTIF(Vertices[PageRank],"&gt;="&amp;P8)</f>
        <v>3</v>
      </c>
      <c r="R7" s="35">
        <f t="shared" si="8"/>
        <v>0.07352941176470588</v>
      </c>
      <c r="S7" s="40">
        <f>COUNTIF(Vertices[Clustering Coefficient],"&gt;= "&amp;R7)-COUNTIF(Vertices[Clustering Coefficient],"&gt;="&amp;R8)</f>
        <v>2</v>
      </c>
      <c r="T7" s="35">
        <f ca="1" t="shared" si="9"/>
        <v>40210.59181781045</v>
      </c>
      <c r="U7" s="36">
        <f ca="1" t="shared" si="0"/>
        <v>8</v>
      </c>
    </row>
    <row r="8" spans="1:21" ht="15">
      <c r="A8" s="30" t="s">
        <v>149</v>
      </c>
      <c r="B8" s="30">
        <v>286</v>
      </c>
      <c r="D8" s="28">
        <f t="shared" si="1"/>
        <v>0</v>
      </c>
      <c r="E8">
        <f>COUNTIF(Vertices[Degree],"&gt;= "&amp;D8)-COUNTIF(Vertices[Degree],"&gt;="&amp;D9)</f>
        <v>0</v>
      </c>
      <c r="F8" s="33">
        <f t="shared" si="2"/>
        <v>2.1176470588235294</v>
      </c>
      <c r="G8" s="34">
        <f>COUNTIF(Vertices[In-Degree],"&gt;= "&amp;F8)-COUNTIF(Vertices[In-Degree],"&gt;="&amp;F9)</f>
        <v>0</v>
      </c>
      <c r="H8" s="33">
        <f t="shared" si="3"/>
        <v>6.529411764705881</v>
      </c>
      <c r="I8" s="34">
        <f>COUNTIF(Vertices[Out-Degree],"&gt;= "&amp;H8)-COUNTIF(Vertices[Out-Degree],"&gt;="&amp;H9)</f>
        <v>2</v>
      </c>
      <c r="J8" s="33">
        <f t="shared" si="4"/>
        <v>2226.556483588235</v>
      </c>
      <c r="K8" s="34">
        <f>COUNTIF(Vertices[Betweenness Centrality],"&gt;= "&amp;J8)-COUNTIF(Vertices[Betweenness Centrality],"&gt;="&amp;J9)</f>
        <v>1</v>
      </c>
      <c r="L8" s="33">
        <f t="shared" si="5"/>
        <v>0.03370870588235294</v>
      </c>
      <c r="M8" s="34">
        <f>COUNTIF(Vertices[Closeness Centrality],"&gt;= "&amp;L8)-COUNTIF(Vertices[Closeness Centrality],"&gt;="&amp;L9)</f>
        <v>1</v>
      </c>
      <c r="N8" s="33">
        <f t="shared" si="6"/>
        <v>0.06892729411764706</v>
      </c>
      <c r="O8" s="34">
        <f>COUNTIF(Vertices[Eigenvector Centrality],"&gt;= "&amp;N8)-COUNTIF(Vertices[Eigenvector Centrality],"&gt;="&amp;N9)</f>
        <v>0</v>
      </c>
      <c r="P8" s="33">
        <f t="shared" si="7"/>
        <v>0.006576764705882355</v>
      </c>
      <c r="Q8" s="34">
        <f>COUNTIF(Vertices[PageRank],"&gt;= "&amp;P8)-COUNTIF(Vertices[PageRank],"&gt;="&amp;P9)</f>
        <v>2</v>
      </c>
      <c r="R8" s="33">
        <f t="shared" si="8"/>
        <v>0.08823529411764706</v>
      </c>
      <c r="S8" s="39">
        <f>COUNTIF(Vertices[Clustering Coefficient],"&gt;= "&amp;R8)-COUNTIF(Vertices[Clustering Coefficient],"&gt;="&amp;R9)</f>
        <v>0</v>
      </c>
      <c r="T8" s="33">
        <f ca="1" t="shared" si="9"/>
        <v>40372.72910266883</v>
      </c>
      <c r="U8" s="34">
        <f ca="1" t="shared" si="0"/>
        <v>7</v>
      </c>
    </row>
    <row r="9" spans="1:21" ht="15">
      <c r="A9" s="96"/>
      <c r="B9" s="96"/>
      <c r="D9" s="28">
        <f t="shared" si="1"/>
        <v>0</v>
      </c>
      <c r="E9">
        <f>COUNTIF(Vertices[Degree],"&gt;= "&amp;D9)-COUNTIF(Vertices[Degree],"&gt;="&amp;D10)</f>
        <v>0</v>
      </c>
      <c r="F9" s="35">
        <f t="shared" si="2"/>
        <v>2.4705882352941178</v>
      </c>
      <c r="G9" s="36">
        <f>COUNTIF(Vertices[In-Degree],"&gt;= "&amp;F9)-COUNTIF(Vertices[In-Degree],"&gt;="&amp;F10)</f>
        <v>0</v>
      </c>
      <c r="H9" s="35">
        <f t="shared" si="3"/>
        <v>7.617647058823528</v>
      </c>
      <c r="I9" s="36">
        <f>COUNTIF(Vertices[Out-Degree],"&gt;= "&amp;H9)-COUNTIF(Vertices[Out-Degree],"&gt;="&amp;H10)</f>
        <v>0</v>
      </c>
      <c r="J9" s="35">
        <f t="shared" si="4"/>
        <v>2597.649230852941</v>
      </c>
      <c r="K9" s="36">
        <f>COUNTIF(Vertices[Betweenness Centrality],"&gt;= "&amp;J9)-COUNTIF(Vertices[Betweenness Centrality],"&gt;="&amp;J10)</f>
        <v>1</v>
      </c>
      <c r="L9" s="35">
        <f t="shared" si="5"/>
        <v>0.03932682352941176</v>
      </c>
      <c r="M9" s="36">
        <f>COUNTIF(Vertices[Closeness Centrality],"&gt;= "&amp;L9)-COUNTIF(Vertices[Closeness Centrality],"&gt;="&amp;L10)</f>
        <v>0</v>
      </c>
      <c r="N9" s="35">
        <f t="shared" si="6"/>
        <v>0.08041517647058824</v>
      </c>
      <c r="O9" s="36">
        <f>COUNTIF(Vertices[Eigenvector Centrality],"&gt;= "&amp;N9)-COUNTIF(Vertices[Eigenvector Centrality],"&gt;="&amp;N10)</f>
        <v>0</v>
      </c>
      <c r="P9" s="35">
        <f t="shared" si="7"/>
        <v>0.007115558823529414</v>
      </c>
      <c r="Q9" s="36">
        <f>COUNTIF(Vertices[PageRank],"&gt;= "&amp;P9)-COUNTIF(Vertices[PageRank],"&gt;="&amp;P10)</f>
        <v>0</v>
      </c>
      <c r="R9" s="35">
        <f t="shared" si="8"/>
        <v>0.10294117647058824</v>
      </c>
      <c r="S9" s="40">
        <f>COUNTIF(Vertices[Clustering Coefficient],"&gt;= "&amp;R9)-COUNTIF(Vertices[Clustering Coefficient],"&gt;="&amp;R10)</f>
        <v>0</v>
      </c>
      <c r="T9" s="35">
        <f ca="1" t="shared" si="9"/>
        <v>40534.86638752722</v>
      </c>
      <c r="U9" s="36">
        <f ca="1" t="shared" si="0"/>
        <v>10</v>
      </c>
    </row>
    <row r="10" spans="1:21" ht="15">
      <c r="A10" s="30" t="s">
        <v>150</v>
      </c>
      <c r="B10" s="30">
        <v>51</v>
      </c>
      <c r="D10" s="28">
        <f t="shared" si="1"/>
        <v>0</v>
      </c>
      <c r="E10">
        <f>COUNTIF(Vertices[Degree],"&gt;= "&amp;D10)-COUNTIF(Vertices[Degree],"&gt;="&amp;D11)</f>
        <v>0</v>
      </c>
      <c r="F10" s="33">
        <f t="shared" si="2"/>
        <v>2.823529411764706</v>
      </c>
      <c r="G10" s="34">
        <f>COUNTIF(Vertices[In-Degree],"&gt;= "&amp;F10)-COUNTIF(Vertices[In-Degree],"&gt;="&amp;F11)</f>
        <v>7</v>
      </c>
      <c r="H10" s="33">
        <f t="shared" si="3"/>
        <v>8.705882352941176</v>
      </c>
      <c r="I10" s="34">
        <f>COUNTIF(Vertices[Out-Degree],"&gt;= "&amp;H10)-COUNTIF(Vertices[Out-Degree],"&gt;="&amp;H11)</f>
        <v>0</v>
      </c>
      <c r="J10" s="33">
        <f t="shared" si="4"/>
        <v>2968.741978117647</v>
      </c>
      <c r="K10" s="34">
        <f>COUNTIF(Vertices[Betweenness Centrality],"&gt;= "&amp;J10)-COUNTIF(Vertices[Betweenness Centrality],"&gt;="&amp;J11)</f>
        <v>0</v>
      </c>
      <c r="L10" s="33">
        <f t="shared" si="5"/>
        <v>0.04494494117647058</v>
      </c>
      <c r="M10" s="34">
        <f>COUNTIF(Vertices[Closeness Centrality],"&gt;= "&amp;L10)-COUNTIF(Vertices[Closeness Centrality],"&gt;="&amp;L11)</f>
        <v>0</v>
      </c>
      <c r="N10" s="33">
        <f t="shared" si="6"/>
        <v>0.09190305882352942</v>
      </c>
      <c r="O10" s="34">
        <f>COUNTIF(Vertices[Eigenvector Centrality],"&gt;= "&amp;N10)-COUNTIF(Vertices[Eigenvector Centrality],"&gt;="&amp;N11)</f>
        <v>0</v>
      </c>
      <c r="P10" s="33">
        <f t="shared" si="7"/>
        <v>0.007654352941176473</v>
      </c>
      <c r="Q10" s="34">
        <f>COUNTIF(Vertices[PageRank],"&gt;= "&amp;P10)-COUNTIF(Vertices[PageRank],"&gt;="&amp;P11)</f>
        <v>1</v>
      </c>
      <c r="R10" s="33">
        <f t="shared" si="8"/>
        <v>0.11764705882352942</v>
      </c>
      <c r="S10" s="39">
        <f>COUNTIF(Vertices[Clustering Coefficient],"&gt;= "&amp;R10)-COUNTIF(Vertices[Clustering Coefficient],"&gt;="&amp;R11)</f>
        <v>0</v>
      </c>
      <c r="T10" s="33">
        <f ca="1" t="shared" si="9"/>
        <v>40697.0036723856</v>
      </c>
      <c r="U10" s="34">
        <f ca="1" t="shared" si="0"/>
        <v>6</v>
      </c>
    </row>
    <row r="11" spans="1:21" ht="15">
      <c r="A11" s="96"/>
      <c r="B11" s="96"/>
      <c r="D11" s="28">
        <f t="shared" si="1"/>
        <v>0</v>
      </c>
      <c r="E11">
        <f>COUNTIF(Vertices[Degree],"&gt;= "&amp;D11)-COUNTIF(Vertices[Degree],"&gt;="&amp;D12)</f>
        <v>0</v>
      </c>
      <c r="F11" s="35">
        <f t="shared" si="2"/>
        <v>3.1764705882352944</v>
      </c>
      <c r="G11" s="36">
        <f>COUNTIF(Vertices[In-Degree],"&gt;= "&amp;F11)-COUNTIF(Vertices[In-Degree],"&gt;="&amp;F12)</f>
        <v>0</v>
      </c>
      <c r="H11" s="35">
        <f t="shared" si="3"/>
        <v>9.794117647058822</v>
      </c>
      <c r="I11" s="36">
        <f>COUNTIF(Vertices[Out-Degree],"&gt;= "&amp;H11)-COUNTIF(Vertices[Out-Degree],"&gt;="&amp;H12)</f>
        <v>2</v>
      </c>
      <c r="J11" s="35">
        <f t="shared" si="4"/>
        <v>3339.8347253823526</v>
      </c>
      <c r="K11" s="36">
        <f>COUNTIF(Vertices[Betweenness Centrality],"&gt;= "&amp;J11)-COUNTIF(Vertices[Betweenness Centrality],"&gt;="&amp;J12)</f>
        <v>1</v>
      </c>
      <c r="L11" s="35">
        <f t="shared" si="5"/>
        <v>0.050563058823529405</v>
      </c>
      <c r="M11" s="36">
        <f>COUNTIF(Vertices[Closeness Centrality],"&gt;= "&amp;L11)-COUNTIF(Vertices[Closeness Centrality],"&gt;="&amp;L12)</f>
        <v>0</v>
      </c>
      <c r="N11" s="35">
        <f t="shared" si="6"/>
        <v>0.1033909411764706</v>
      </c>
      <c r="O11" s="36">
        <f>COUNTIF(Vertices[Eigenvector Centrality],"&gt;= "&amp;N11)-COUNTIF(Vertices[Eigenvector Centrality],"&gt;="&amp;N12)</f>
        <v>0</v>
      </c>
      <c r="P11" s="35">
        <f t="shared" si="7"/>
        <v>0.008193147058823532</v>
      </c>
      <c r="Q11" s="36">
        <f>COUNTIF(Vertices[PageRank],"&gt;= "&amp;P11)-COUNTIF(Vertices[PageRank],"&gt;="&amp;P12)</f>
        <v>1</v>
      </c>
      <c r="R11" s="35">
        <f t="shared" si="8"/>
        <v>0.1323529411764706</v>
      </c>
      <c r="S11" s="40">
        <f>COUNTIF(Vertices[Clustering Coefficient],"&gt;= "&amp;R11)-COUNTIF(Vertices[Clustering Coefficient],"&gt;="&amp;R12)</f>
        <v>0</v>
      </c>
      <c r="T11" s="35">
        <f ca="1" t="shared" si="9"/>
        <v>40859.14095724399</v>
      </c>
      <c r="U11" s="36">
        <f ca="1" t="shared" si="0"/>
        <v>6</v>
      </c>
    </row>
    <row r="12" spans="1:21" ht="15">
      <c r="A12" s="30" t="s">
        <v>169</v>
      </c>
      <c r="B12" s="30">
        <v>0</v>
      </c>
      <c r="D12" s="28">
        <f t="shared" si="1"/>
        <v>0</v>
      </c>
      <c r="E12">
        <f>COUNTIF(Vertices[Degree],"&gt;= "&amp;D12)-COUNTIF(Vertices[Degree],"&gt;="&amp;D13)</f>
        <v>0</v>
      </c>
      <c r="F12" s="33">
        <f t="shared" si="2"/>
        <v>3.5294117647058827</v>
      </c>
      <c r="G12" s="34">
        <f>COUNTIF(Vertices[In-Degree],"&gt;= "&amp;F12)-COUNTIF(Vertices[In-Degree],"&gt;="&amp;F13)</f>
        <v>0</v>
      </c>
      <c r="H12" s="33">
        <f t="shared" si="3"/>
        <v>10.88235294117647</v>
      </c>
      <c r="I12" s="34">
        <f>COUNTIF(Vertices[Out-Degree],"&gt;= "&amp;H12)-COUNTIF(Vertices[Out-Degree],"&gt;="&amp;H13)</f>
        <v>0</v>
      </c>
      <c r="J12" s="33">
        <f t="shared" si="4"/>
        <v>3710.9274726470585</v>
      </c>
      <c r="K12" s="34">
        <f>COUNTIF(Vertices[Betweenness Centrality],"&gt;= "&amp;J12)-COUNTIF(Vertices[Betweenness Centrality],"&gt;="&amp;J13)</f>
        <v>0</v>
      </c>
      <c r="L12" s="33">
        <f t="shared" si="5"/>
        <v>0.05618117647058823</v>
      </c>
      <c r="M12" s="34">
        <f>COUNTIF(Vertices[Closeness Centrality],"&gt;= "&amp;L12)-COUNTIF(Vertices[Closeness Centrality],"&gt;="&amp;L13)</f>
        <v>0</v>
      </c>
      <c r="N12" s="33">
        <f t="shared" si="6"/>
        <v>0.11487882352941178</v>
      </c>
      <c r="O12" s="34">
        <f>COUNTIF(Vertices[Eigenvector Centrality],"&gt;= "&amp;N12)-COUNTIF(Vertices[Eigenvector Centrality],"&gt;="&amp;N13)</f>
        <v>0</v>
      </c>
      <c r="P12" s="33">
        <f t="shared" si="7"/>
        <v>0.008731941176470592</v>
      </c>
      <c r="Q12" s="34">
        <f>COUNTIF(Vertices[PageRank],"&gt;= "&amp;P12)-COUNTIF(Vertices[PageRank],"&gt;="&amp;P13)</f>
        <v>0</v>
      </c>
      <c r="R12" s="33">
        <f t="shared" si="8"/>
        <v>0.14705882352941177</v>
      </c>
      <c r="S12" s="39">
        <f>COUNTIF(Vertices[Clustering Coefficient],"&gt;= "&amp;R12)-COUNTIF(Vertices[Clustering Coefficient],"&gt;="&amp;R13)</f>
        <v>0</v>
      </c>
      <c r="T12" s="33">
        <f ca="1" t="shared" si="9"/>
        <v>41021.27824210237</v>
      </c>
      <c r="U12" s="34">
        <f ca="1" t="shared" si="0"/>
        <v>4</v>
      </c>
    </row>
    <row r="13" spans="1:21" ht="15">
      <c r="A13" s="30" t="s">
        <v>170</v>
      </c>
      <c r="B13" s="30">
        <v>0</v>
      </c>
      <c r="D13" s="28">
        <f t="shared" si="1"/>
        <v>0</v>
      </c>
      <c r="E13">
        <f>COUNTIF(Vertices[Degree],"&gt;= "&amp;D13)-COUNTIF(Vertices[Degree],"&gt;="&amp;D14)</f>
        <v>0</v>
      </c>
      <c r="F13" s="35">
        <f t="shared" si="2"/>
        <v>3.882352941176471</v>
      </c>
      <c r="G13" s="36">
        <f>COUNTIF(Vertices[In-Degree],"&gt;= "&amp;F13)-COUNTIF(Vertices[In-Degree],"&gt;="&amp;F14)</f>
        <v>3</v>
      </c>
      <c r="H13" s="35">
        <f t="shared" si="3"/>
        <v>11.970588235294116</v>
      </c>
      <c r="I13" s="36">
        <f>COUNTIF(Vertices[Out-Degree],"&gt;= "&amp;H13)-COUNTIF(Vertices[Out-Degree],"&gt;="&amp;H14)</f>
        <v>0</v>
      </c>
      <c r="J13" s="35">
        <f t="shared" si="4"/>
        <v>4082.0202199117643</v>
      </c>
      <c r="K13" s="36">
        <f>COUNTIF(Vertices[Betweenness Centrality],"&gt;= "&amp;J13)-COUNTIF(Vertices[Betweenness Centrality],"&gt;="&amp;J14)</f>
        <v>0</v>
      </c>
      <c r="L13" s="35">
        <f t="shared" si="5"/>
        <v>0.06179929411764705</v>
      </c>
      <c r="M13" s="36">
        <f>COUNTIF(Vertices[Closeness Centrality],"&gt;= "&amp;L13)-COUNTIF(Vertices[Closeness Centrality],"&gt;="&amp;L14)</f>
        <v>0</v>
      </c>
      <c r="N13" s="35">
        <f t="shared" si="6"/>
        <v>0.12636670588235296</v>
      </c>
      <c r="O13" s="36">
        <f>COUNTIF(Vertices[Eigenvector Centrality],"&gt;= "&amp;N13)-COUNTIF(Vertices[Eigenvector Centrality],"&gt;="&amp;N14)</f>
        <v>0</v>
      </c>
      <c r="P13" s="35">
        <f t="shared" si="7"/>
        <v>0.00927073529411765</v>
      </c>
      <c r="Q13" s="36">
        <f>COUNTIF(Vertices[PageRank],"&gt;= "&amp;P13)-COUNTIF(Vertices[PageRank],"&gt;="&amp;P14)</f>
        <v>0</v>
      </c>
      <c r="R13" s="35">
        <f t="shared" si="8"/>
        <v>0.16176470588235295</v>
      </c>
      <c r="S13" s="40">
        <f>COUNTIF(Vertices[Clustering Coefficient],"&gt;= "&amp;R13)-COUNTIF(Vertices[Clustering Coefficient],"&gt;="&amp;R14)</f>
        <v>0</v>
      </c>
      <c r="T13" s="35">
        <f ca="1" t="shared" si="9"/>
        <v>41183.41552696076</v>
      </c>
      <c r="U13" s="36">
        <f ca="1" t="shared" si="0"/>
        <v>5</v>
      </c>
    </row>
    <row r="14" spans="1:21" ht="15">
      <c r="A14" s="96"/>
      <c r="B14" s="96"/>
      <c r="D14" s="28">
        <f t="shared" si="1"/>
        <v>0</v>
      </c>
      <c r="E14">
        <f>COUNTIF(Vertices[Degree],"&gt;= "&amp;D14)-COUNTIF(Vertices[Degree],"&gt;="&amp;D15)</f>
        <v>0</v>
      </c>
      <c r="F14" s="33">
        <f t="shared" si="2"/>
        <v>4.235294117647059</v>
      </c>
      <c r="G14" s="34">
        <f>COUNTIF(Vertices[In-Degree],"&gt;= "&amp;F14)-COUNTIF(Vertices[In-Degree],"&gt;="&amp;F15)</f>
        <v>0</v>
      </c>
      <c r="H14" s="33">
        <f t="shared" si="3"/>
        <v>13.058823529411763</v>
      </c>
      <c r="I14" s="34">
        <f>COUNTIF(Vertices[Out-Degree],"&gt;= "&amp;H14)-COUNTIF(Vertices[Out-Degree],"&gt;="&amp;H15)</f>
        <v>0</v>
      </c>
      <c r="J14" s="33">
        <f t="shared" si="4"/>
        <v>4453.11296717647</v>
      </c>
      <c r="K14" s="34">
        <f>COUNTIF(Vertices[Betweenness Centrality],"&gt;= "&amp;J14)-COUNTIF(Vertices[Betweenness Centrality],"&gt;="&amp;J15)</f>
        <v>0</v>
      </c>
      <c r="L14" s="33">
        <f t="shared" si="5"/>
        <v>0.06741741176470588</v>
      </c>
      <c r="M14" s="34">
        <f>COUNTIF(Vertices[Closeness Centrality],"&gt;= "&amp;L14)-COUNTIF(Vertices[Closeness Centrality],"&gt;="&amp;L15)</f>
        <v>0</v>
      </c>
      <c r="N14" s="33">
        <f t="shared" si="6"/>
        <v>0.13785458823529415</v>
      </c>
      <c r="O14" s="34">
        <f>COUNTIF(Vertices[Eigenvector Centrality],"&gt;= "&amp;N14)-COUNTIF(Vertices[Eigenvector Centrality],"&gt;="&amp;N15)</f>
        <v>0</v>
      </c>
      <c r="P14" s="33">
        <f t="shared" si="7"/>
        <v>0.00980952941176471</v>
      </c>
      <c r="Q14" s="34">
        <f>COUNTIF(Vertices[PageRank],"&gt;= "&amp;P14)-COUNTIF(Vertices[PageRank],"&gt;="&amp;P15)</f>
        <v>0</v>
      </c>
      <c r="R14" s="33">
        <f t="shared" si="8"/>
        <v>0.17647058823529413</v>
      </c>
      <c r="S14" s="39">
        <f>COUNTIF(Vertices[Clustering Coefficient],"&gt;= "&amp;R14)-COUNTIF(Vertices[Clustering Coefficient],"&gt;="&amp;R15)</f>
        <v>0</v>
      </c>
      <c r="T14" s="33">
        <f ca="1" t="shared" si="9"/>
        <v>41345.55281181914</v>
      </c>
      <c r="U14" s="34">
        <f ca="1" t="shared" si="0"/>
        <v>7</v>
      </c>
    </row>
    <row r="15" spans="1:21" ht="15">
      <c r="A15" s="30" t="s">
        <v>151</v>
      </c>
      <c r="B15" s="30">
        <v>47</v>
      </c>
      <c r="D15" s="28">
        <f t="shared" si="1"/>
        <v>0</v>
      </c>
      <c r="E15">
        <f>COUNTIF(Vertices[Degree],"&gt;= "&amp;D15)-COUNTIF(Vertices[Degree],"&gt;="&amp;D16)</f>
        <v>0</v>
      </c>
      <c r="F15" s="35">
        <f t="shared" si="2"/>
        <v>4.588235294117647</v>
      </c>
      <c r="G15" s="36">
        <f>COUNTIF(Vertices[In-Degree],"&gt;= "&amp;F15)-COUNTIF(Vertices[In-Degree],"&gt;="&amp;F16)</f>
        <v>0</v>
      </c>
      <c r="H15" s="35">
        <f t="shared" si="3"/>
        <v>14.14705882352941</v>
      </c>
      <c r="I15" s="36">
        <f>COUNTIF(Vertices[Out-Degree],"&gt;= "&amp;H15)-COUNTIF(Vertices[Out-Degree],"&gt;="&amp;H16)</f>
        <v>0</v>
      </c>
      <c r="J15" s="35">
        <f t="shared" si="4"/>
        <v>4824.205714441176</v>
      </c>
      <c r="K15" s="36">
        <f>COUNTIF(Vertices[Betweenness Centrality],"&gt;= "&amp;J15)-COUNTIF(Vertices[Betweenness Centrality],"&gt;="&amp;J16)</f>
        <v>0</v>
      </c>
      <c r="L15" s="35">
        <f t="shared" si="5"/>
        <v>0.07303552941176471</v>
      </c>
      <c r="M15" s="36">
        <f>COUNTIF(Vertices[Closeness Centrality],"&gt;= "&amp;L15)-COUNTIF(Vertices[Closeness Centrality],"&gt;="&amp;L16)</f>
        <v>0</v>
      </c>
      <c r="N15" s="35">
        <f t="shared" si="6"/>
        <v>0.14934247058823533</v>
      </c>
      <c r="O15" s="36">
        <f>COUNTIF(Vertices[Eigenvector Centrality],"&gt;= "&amp;N15)-COUNTIF(Vertices[Eigenvector Centrality],"&gt;="&amp;N16)</f>
        <v>36</v>
      </c>
      <c r="P15" s="35">
        <f t="shared" si="7"/>
        <v>0.01034832352941177</v>
      </c>
      <c r="Q15" s="36">
        <f>COUNTIF(Vertices[PageRank],"&gt;= "&amp;P15)-COUNTIF(Vertices[PageRank],"&gt;="&amp;P16)</f>
        <v>0</v>
      </c>
      <c r="R15" s="35">
        <f t="shared" si="8"/>
        <v>0.1911764705882353</v>
      </c>
      <c r="S15" s="40">
        <f>COUNTIF(Vertices[Clustering Coefficient],"&gt;= "&amp;R15)-COUNTIF(Vertices[Clustering Coefficient],"&gt;="&amp;R16)</f>
        <v>0</v>
      </c>
      <c r="T15" s="35">
        <f ca="1" t="shared" si="9"/>
        <v>41507.69009667753</v>
      </c>
      <c r="U15" s="36">
        <f ca="1" t="shared" si="0"/>
        <v>2</v>
      </c>
    </row>
    <row r="16" spans="1:21" ht="15">
      <c r="A16" s="30" t="s">
        <v>152</v>
      </c>
      <c r="B16" s="30">
        <v>18</v>
      </c>
      <c r="D16" s="28">
        <f t="shared" si="1"/>
        <v>0</v>
      </c>
      <c r="E16">
        <f>COUNTIF(Vertices[Degree],"&gt;= "&amp;D16)-COUNTIF(Vertices[Degree],"&gt;="&amp;D17)</f>
        <v>0</v>
      </c>
      <c r="F16" s="33">
        <f t="shared" si="2"/>
        <v>4.941176470588235</v>
      </c>
      <c r="G16" s="34">
        <f>COUNTIF(Vertices[In-Degree],"&gt;= "&amp;F16)-COUNTIF(Vertices[In-Degree],"&gt;="&amp;F17)</f>
        <v>1</v>
      </c>
      <c r="H16" s="33">
        <f t="shared" si="3"/>
        <v>15.235294117647056</v>
      </c>
      <c r="I16" s="34">
        <f>COUNTIF(Vertices[Out-Degree],"&gt;= "&amp;H16)-COUNTIF(Vertices[Out-Degree],"&gt;="&amp;H17)</f>
        <v>0</v>
      </c>
      <c r="J16" s="33">
        <f t="shared" si="4"/>
        <v>5195.298461705881</v>
      </c>
      <c r="K16" s="34">
        <f>COUNTIF(Vertices[Betweenness Centrality],"&gt;= "&amp;J16)-COUNTIF(Vertices[Betweenness Centrality],"&gt;="&amp;J17)</f>
        <v>0</v>
      </c>
      <c r="L16" s="33">
        <f t="shared" si="5"/>
        <v>0.07865364705882354</v>
      </c>
      <c r="M16" s="34">
        <f>COUNTIF(Vertices[Closeness Centrality],"&gt;= "&amp;L16)-COUNTIF(Vertices[Closeness Centrality],"&gt;="&amp;L17)</f>
        <v>0</v>
      </c>
      <c r="N16" s="33">
        <f t="shared" si="6"/>
        <v>0.1608303529411765</v>
      </c>
      <c r="O16" s="34">
        <f>COUNTIF(Vertices[Eigenvector Centrality],"&gt;= "&amp;N16)-COUNTIF(Vertices[Eigenvector Centrality],"&gt;="&amp;N17)</f>
        <v>0</v>
      </c>
      <c r="P16" s="33">
        <f t="shared" si="7"/>
        <v>0.010887117647058828</v>
      </c>
      <c r="Q16" s="34">
        <f>COUNTIF(Vertices[PageRank],"&gt;= "&amp;P16)-COUNTIF(Vertices[PageRank],"&gt;="&amp;P17)</f>
        <v>0</v>
      </c>
      <c r="R16" s="33">
        <f t="shared" si="8"/>
        <v>0.2058823529411765</v>
      </c>
      <c r="S16" s="39">
        <f>COUNTIF(Vertices[Clustering Coefficient],"&gt;= "&amp;R16)-COUNTIF(Vertices[Clustering Coefficient],"&gt;="&amp;R17)</f>
        <v>0</v>
      </c>
      <c r="T16" s="33">
        <f ca="1" t="shared" si="9"/>
        <v>41669.82738153591</v>
      </c>
      <c r="U16" s="34">
        <f ca="1" t="shared" si="0"/>
        <v>4</v>
      </c>
    </row>
    <row r="17" spans="1:21" ht="15">
      <c r="A17" s="30" t="s">
        <v>153</v>
      </c>
      <c r="B17" s="30">
        <v>154</v>
      </c>
      <c r="D17" s="28">
        <f t="shared" si="1"/>
        <v>0</v>
      </c>
      <c r="E17">
        <f>COUNTIF(Vertices[Degree],"&gt;= "&amp;D17)-COUNTIF(Vertices[Degree],"&gt;="&amp;D18)</f>
        <v>0</v>
      </c>
      <c r="F17" s="35">
        <f t="shared" si="2"/>
        <v>5.2941176470588225</v>
      </c>
      <c r="G17" s="36">
        <f>COUNTIF(Vertices[In-Degree],"&gt;= "&amp;F17)-COUNTIF(Vertices[In-Degree],"&gt;="&amp;F18)</f>
        <v>0</v>
      </c>
      <c r="H17" s="35">
        <f t="shared" si="3"/>
        <v>16.323529411764703</v>
      </c>
      <c r="I17" s="36">
        <f>COUNTIF(Vertices[Out-Degree],"&gt;= "&amp;H17)-COUNTIF(Vertices[Out-Degree],"&gt;="&amp;H18)</f>
        <v>1</v>
      </c>
      <c r="J17" s="35">
        <f t="shared" si="4"/>
        <v>5566.391208970586</v>
      </c>
      <c r="K17" s="36">
        <f>COUNTIF(Vertices[Betweenness Centrality],"&gt;= "&amp;J17)-COUNTIF(Vertices[Betweenness Centrality],"&gt;="&amp;J18)</f>
        <v>0</v>
      </c>
      <c r="L17" s="35">
        <f t="shared" si="5"/>
        <v>0.08427176470588237</v>
      </c>
      <c r="M17" s="36">
        <f>COUNTIF(Vertices[Closeness Centrality],"&gt;= "&amp;L17)-COUNTIF(Vertices[Closeness Centrality],"&gt;="&amp;L18)</f>
        <v>1</v>
      </c>
      <c r="N17" s="35">
        <f t="shared" si="6"/>
        <v>0.1723182352941177</v>
      </c>
      <c r="O17" s="36">
        <f>COUNTIF(Vertices[Eigenvector Centrality],"&gt;= "&amp;N17)-COUNTIF(Vertices[Eigenvector Centrality],"&gt;="&amp;N18)</f>
        <v>1</v>
      </c>
      <c r="P17" s="35">
        <f t="shared" si="7"/>
        <v>0.011425911764705888</v>
      </c>
      <c r="Q17" s="36">
        <f>COUNTIF(Vertices[PageRank],"&gt;= "&amp;P17)-COUNTIF(Vertices[PageRank],"&gt;="&amp;P18)</f>
        <v>0</v>
      </c>
      <c r="R17" s="35">
        <f t="shared" si="8"/>
        <v>0.22058823529411767</v>
      </c>
      <c r="S17" s="40">
        <f>COUNTIF(Vertices[Clustering Coefficient],"&gt;= "&amp;R17)-COUNTIF(Vertices[Clustering Coefficient],"&gt;="&amp;R18)</f>
        <v>0</v>
      </c>
      <c r="T17" s="35">
        <f ca="1" t="shared" si="9"/>
        <v>41831.9646663943</v>
      </c>
      <c r="U17" s="36">
        <f ca="1" t="shared" si="0"/>
        <v>3</v>
      </c>
    </row>
    <row r="18" spans="1:21" ht="15">
      <c r="A18" s="30" t="s">
        <v>154</v>
      </c>
      <c r="B18" s="30">
        <v>202</v>
      </c>
      <c r="D18" s="28">
        <f t="shared" si="1"/>
        <v>0</v>
      </c>
      <c r="E18">
        <f>COUNTIF(Vertices[Degree],"&gt;= "&amp;D18)-COUNTIF(Vertices[Degree],"&gt;="&amp;D19)</f>
        <v>0</v>
      </c>
      <c r="F18" s="33">
        <f t="shared" si="2"/>
        <v>5.64705882352941</v>
      </c>
      <c r="G18" s="34">
        <f>COUNTIF(Vertices[In-Degree],"&gt;= "&amp;F18)-COUNTIF(Vertices[In-Degree],"&gt;="&amp;F19)</f>
        <v>0</v>
      </c>
      <c r="H18" s="33">
        <f t="shared" si="3"/>
        <v>17.41176470588235</v>
      </c>
      <c r="I18" s="34">
        <f>COUNTIF(Vertices[Out-Degree],"&gt;= "&amp;H18)-COUNTIF(Vertices[Out-Degree],"&gt;="&amp;H19)</f>
        <v>0</v>
      </c>
      <c r="J18" s="33">
        <f t="shared" si="4"/>
        <v>5937.483956235292</v>
      </c>
      <c r="K18" s="34">
        <f>COUNTIF(Vertices[Betweenness Centrality],"&gt;= "&amp;J18)-COUNTIF(Vertices[Betweenness Centrality],"&gt;="&amp;J19)</f>
        <v>0</v>
      </c>
      <c r="L18" s="33">
        <f t="shared" si="5"/>
        <v>0.0898898823529412</v>
      </c>
      <c r="M18" s="34">
        <f>COUNTIF(Vertices[Closeness Centrality],"&gt;= "&amp;L18)-COUNTIF(Vertices[Closeness Centrality],"&gt;="&amp;L19)</f>
        <v>0</v>
      </c>
      <c r="N18" s="33">
        <f t="shared" si="6"/>
        <v>0.18380611764705887</v>
      </c>
      <c r="O18" s="34">
        <f>COUNTIF(Vertices[Eigenvector Centrality],"&gt;= "&amp;N18)-COUNTIF(Vertices[Eigenvector Centrality],"&gt;="&amp;N19)</f>
        <v>0</v>
      </c>
      <c r="P18" s="33">
        <f t="shared" si="7"/>
        <v>0.011964705882352947</v>
      </c>
      <c r="Q18" s="34">
        <f>COUNTIF(Vertices[PageRank],"&gt;= "&amp;P18)-COUNTIF(Vertices[PageRank],"&gt;="&amp;P19)</f>
        <v>0</v>
      </c>
      <c r="R18" s="33">
        <f t="shared" si="8"/>
        <v>0.23529411764705885</v>
      </c>
      <c r="S18" s="39">
        <f>COUNTIF(Vertices[Clustering Coefficient],"&gt;= "&amp;R18)-COUNTIF(Vertices[Clustering Coefficient],"&gt;="&amp;R19)</f>
        <v>0</v>
      </c>
      <c r="T18" s="33">
        <f ca="1" t="shared" si="9"/>
        <v>41994.101951252684</v>
      </c>
      <c r="U18" s="34">
        <f ca="1" t="shared" si="0"/>
        <v>3</v>
      </c>
    </row>
    <row r="19" spans="1:21" ht="15">
      <c r="A19" s="96"/>
      <c r="B19" s="96"/>
      <c r="D19" s="28">
        <f t="shared" si="1"/>
        <v>0</v>
      </c>
      <c r="E19">
        <f>COUNTIF(Vertices[Degree],"&gt;= "&amp;D19)-COUNTIF(Vertices[Degree],"&gt;="&amp;D20)</f>
        <v>0</v>
      </c>
      <c r="F19" s="35">
        <f t="shared" si="2"/>
        <v>5.999999999999998</v>
      </c>
      <c r="G19" s="36">
        <f>COUNTIF(Vertices[In-Degree],"&gt;= "&amp;F19)-COUNTIF(Vertices[In-Degree],"&gt;="&amp;F20)</f>
        <v>1</v>
      </c>
      <c r="H19" s="35">
        <f t="shared" si="3"/>
        <v>18.5</v>
      </c>
      <c r="I19" s="36">
        <f>COUNTIF(Vertices[Out-Degree],"&gt;= "&amp;H19)-COUNTIF(Vertices[Out-Degree],"&gt;="&amp;H20)</f>
        <v>0</v>
      </c>
      <c r="J19" s="35">
        <f t="shared" si="4"/>
        <v>6308.576703499997</v>
      </c>
      <c r="K19" s="36">
        <f>COUNTIF(Vertices[Betweenness Centrality],"&gt;= "&amp;J19)-COUNTIF(Vertices[Betweenness Centrality],"&gt;="&amp;J20)</f>
        <v>0</v>
      </c>
      <c r="L19" s="35">
        <f t="shared" si="5"/>
        <v>0.09550800000000002</v>
      </c>
      <c r="M19" s="36">
        <f>COUNTIF(Vertices[Closeness Centrality],"&gt;= "&amp;L19)-COUNTIF(Vertices[Closeness Centrality],"&gt;="&amp;L20)</f>
        <v>13</v>
      </c>
      <c r="N19" s="35">
        <f t="shared" si="6"/>
        <v>0.19529400000000005</v>
      </c>
      <c r="O19" s="36">
        <f>COUNTIF(Vertices[Eigenvector Centrality],"&gt;= "&amp;N19)-COUNTIF(Vertices[Eigenvector Centrality],"&gt;="&amp;N20)</f>
        <v>0</v>
      </c>
      <c r="P19" s="35">
        <f t="shared" si="7"/>
        <v>0.012503500000000006</v>
      </c>
      <c r="Q19" s="36">
        <f>COUNTIF(Vertices[PageRank],"&gt;= "&amp;P19)-COUNTIF(Vertices[PageRank],"&gt;="&amp;P20)</f>
        <v>0</v>
      </c>
      <c r="R19" s="35">
        <f t="shared" si="8"/>
        <v>0.25</v>
      </c>
      <c r="S19" s="40">
        <f>COUNTIF(Vertices[Clustering Coefficient],"&gt;= "&amp;R19)-COUNTIF(Vertices[Clustering Coefficient],"&gt;="&amp;R20)</f>
        <v>0</v>
      </c>
      <c r="T19" s="35">
        <f ca="1" t="shared" si="9"/>
        <v>42156.23923611107</v>
      </c>
      <c r="U19" s="36">
        <f ca="1" t="shared" si="0"/>
        <v>2</v>
      </c>
    </row>
    <row r="20" spans="1:21" ht="15">
      <c r="A20" s="30" t="s">
        <v>155</v>
      </c>
      <c r="B20" s="30">
        <v>9</v>
      </c>
      <c r="D20" s="28">
        <f t="shared" si="1"/>
        <v>0</v>
      </c>
      <c r="E20">
        <f>COUNTIF(Vertices[Degree],"&gt;= "&amp;D20)-COUNTIF(Vertices[Degree],"&gt;="&amp;D21)</f>
        <v>0</v>
      </c>
      <c r="F20" s="33">
        <f t="shared" si="2"/>
        <v>6.352941176470586</v>
      </c>
      <c r="G20" s="34">
        <f>COUNTIF(Vertices[In-Degree],"&gt;= "&amp;F20)-COUNTIF(Vertices[In-Degree],"&gt;="&amp;F21)</f>
        <v>0</v>
      </c>
      <c r="H20" s="33">
        <f t="shared" si="3"/>
        <v>19.58823529411765</v>
      </c>
      <c r="I20" s="34">
        <f>COUNTIF(Vertices[Out-Degree],"&gt;= "&amp;H20)-COUNTIF(Vertices[Out-Degree],"&gt;="&amp;H21)</f>
        <v>0</v>
      </c>
      <c r="J20" s="33">
        <f t="shared" si="4"/>
        <v>6679.669450764703</v>
      </c>
      <c r="K20" s="34">
        <f>COUNTIF(Vertices[Betweenness Centrality],"&gt;= "&amp;J20)-COUNTIF(Vertices[Betweenness Centrality],"&gt;="&amp;J21)</f>
        <v>1</v>
      </c>
      <c r="L20" s="33">
        <f t="shared" si="5"/>
        <v>0.10112611764705885</v>
      </c>
      <c r="M20" s="34">
        <f>COUNTIF(Vertices[Closeness Centrality],"&gt;= "&amp;L20)-COUNTIF(Vertices[Closeness Centrality],"&gt;="&amp;L21)</f>
        <v>1</v>
      </c>
      <c r="N20" s="33">
        <f t="shared" si="6"/>
        <v>0.20678188235294123</v>
      </c>
      <c r="O20" s="34">
        <f>COUNTIF(Vertices[Eigenvector Centrality],"&gt;= "&amp;N20)-COUNTIF(Vertices[Eigenvector Centrality],"&gt;="&amp;N21)</f>
        <v>0</v>
      </c>
      <c r="P20" s="33">
        <f t="shared" si="7"/>
        <v>0.013042294117647065</v>
      </c>
      <c r="Q20" s="34">
        <f>COUNTIF(Vertices[PageRank],"&gt;= "&amp;P20)-COUNTIF(Vertices[PageRank],"&gt;="&amp;P21)</f>
        <v>0</v>
      </c>
      <c r="R20" s="33">
        <f t="shared" si="8"/>
        <v>0.2647058823529412</v>
      </c>
      <c r="S20" s="39">
        <f>COUNTIF(Vertices[Clustering Coefficient],"&gt;= "&amp;R20)-COUNTIF(Vertices[Clustering Coefficient],"&gt;="&amp;R21)</f>
        <v>0</v>
      </c>
      <c r="T20" s="33">
        <f ca="1" t="shared" si="9"/>
        <v>42318.376520969454</v>
      </c>
      <c r="U20" s="34">
        <f ca="1" t="shared" si="0"/>
        <v>5</v>
      </c>
    </row>
    <row r="21" spans="1:21" ht="15">
      <c r="A21" s="30" t="s">
        <v>156</v>
      </c>
      <c r="B21" s="30">
        <v>4.78962</v>
      </c>
      <c r="D21" s="28">
        <f t="shared" si="1"/>
        <v>0</v>
      </c>
      <c r="E21">
        <f>COUNTIF(Vertices[Degree],"&gt;= "&amp;D21)-COUNTIF(Vertices[Degree],"&gt;="&amp;D22)</f>
        <v>0</v>
      </c>
      <c r="F21" s="35">
        <f t="shared" si="2"/>
        <v>6.705882352941174</v>
      </c>
      <c r="G21" s="36">
        <f>COUNTIF(Vertices[In-Degree],"&gt;= "&amp;F21)-COUNTIF(Vertices[In-Degree],"&gt;="&amp;F22)</f>
        <v>0</v>
      </c>
      <c r="H21" s="35">
        <f t="shared" si="3"/>
        <v>20.676470588235297</v>
      </c>
      <c r="I21" s="36">
        <f>COUNTIF(Vertices[Out-Degree],"&gt;= "&amp;H21)-COUNTIF(Vertices[Out-Degree],"&gt;="&amp;H22)</f>
        <v>0</v>
      </c>
      <c r="J21" s="35">
        <f t="shared" si="4"/>
        <v>7050.762198029408</v>
      </c>
      <c r="K21" s="36">
        <f>COUNTIF(Vertices[Betweenness Centrality],"&gt;= "&amp;J21)-COUNTIF(Vertices[Betweenness Centrality],"&gt;="&amp;J22)</f>
        <v>0</v>
      </c>
      <c r="L21" s="35">
        <f t="shared" si="5"/>
        <v>0.10674423529411768</v>
      </c>
      <c r="M21" s="36">
        <f>COUNTIF(Vertices[Closeness Centrality],"&gt;= "&amp;L21)-COUNTIF(Vertices[Closeness Centrality],"&gt;="&amp;L22)</f>
        <v>45</v>
      </c>
      <c r="N21" s="35">
        <f t="shared" si="6"/>
        <v>0.2182697647058824</v>
      </c>
      <c r="O21" s="36">
        <f>COUNTIF(Vertices[Eigenvector Centrality],"&gt;= "&amp;N21)-COUNTIF(Vertices[Eigenvector Centrality],"&gt;="&amp;N22)</f>
        <v>0</v>
      </c>
      <c r="P21" s="35">
        <f t="shared" si="7"/>
        <v>0.013581088235294124</v>
      </c>
      <c r="Q21" s="36">
        <f>COUNTIF(Vertices[PageRank],"&gt;= "&amp;P21)-COUNTIF(Vertices[PageRank],"&gt;="&amp;P22)</f>
        <v>1</v>
      </c>
      <c r="R21" s="35">
        <f t="shared" si="8"/>
        <v>0.27941176470588236</v>
      </c>
      <c r="S21" s="40">
        <f>COUNTIF(Vertices[Clustering Coefficient],"&gt;= "&amp;R21)-COUNTIF(Vertices[Clustering Coefficient],"&gt;="&amp;R22)</f>
        <v>0</v>
      </c>
      <c r="T21" s="35">
        <f ca="1" t="shared" si="9"/>
        <v>42480.51380582784</v>
      </c>
      <c r="U21" s="36">
        <f ca="1" t="shared" si="0"/>
        <v>2</v>
      </c>
    </row>
    <row r="22" spans="1:21" ht="15">
      <c r="A22" s="96"/>
      <c r="B22" s="96"/>
      <c r="D22" s="28">
        <f t="shared" si="1"/>
        <v>0</v>
      </c>
      <c r="E22">
        <f>COUNTIF(Vertices[Degree],"&gt;= "&amp;D22)-COUNTIF(Vertices[Degree],"&gt;="&amp;D23)</f>
        <v>0</v>
      </c>
      <c r="F22" s="33">
        <f t="shared" si="2"/>
        <v>7.058823529411762</v>
      </c>
      <c r="G22" s="34">
        <f>COUNTIF(Vertices[In-Degree],"&gt;= "&amp;F22)-COUNTIF(Vertices[In-Degree],"&gt;="&amp;F23)</f>
        <v>0</v>
      </c>
      <c r="H22" s="33">
        <f t="shared" si="3"/>
        <v>21.764705882352946</v>
      </c>
      <c r="I22" s="34">
        <f>COUNTIF(Vertices[Out-Degree],"&gt;= "&amp;H22)-COUNTIF(Vertices[Out-Degree],"&gt;="&amp;H23)</f>
        <v>0</v>
      </c>
      <c r="J22" s="33">
        <f t="shared" si="4"/>
        <v>7421.854945294113</v>
      </c>
      <c r="K22" s="34">
        <f>COUNTIF(Vertices[Betweenness Centrality],"&gt;= "&amp;J22)-COUNTIF(Vertices[Betweenness Centrality],"&gt;="&amp;J23)</f>
        <v>0</v>
      </c>
      <c r="L22" s="33">
        <f t="shared" si="5"/>
        <v>0.11236235294117651</v>
      </c>
      <c r="M22" s="34">
        <f>COUNTIF(Vertices[Closeness Centrality],"&gt;= "&amp;L22)-COUNTIF(Vertices[Closeness Centrality],"&gt;="&amp;L23)</f>
        <v>12</v>
      </c>
      <c r="N22" s="33">
        <f t="shared" si="6"/>
        <v>0.2297576470588236</v>
      </c>
      <c r="O22" s="34">
        <f>COUNTIF(Vertices[Eigenvector Centrality],"&gt;= "&amp;N22)-COUNTIF(Vertices[Eigenvector Centrality],"&gt;="&amp;N23)</f>
        <v>0</v>
      </c>
      <c r="P22" s="33">
        <f t="shared" si="7"/>
        <v>0.014119882352941183</v>
      </c>
      <c r="Q22" s="34">
        <f>COUNTIF(Vertices[PageRank],"&gt;= "&amp;P22)-COUNTIF(Vertices[PageRank],"&gt;="&amp;P23)</f>
        <v>0</v>
      </c>
      <c r="R22" s="33">
        <f t="shared" si="8"/>
        <v>0.29411764705882354</v>
      </c>
      <c r="S22" s="39">
        <f>COUNTIF(Vertices[Clustering Coefficient],"&gt;= "&amp;R22)-COUNTIF(Vertices[Clustering Coefficient],"&gt;="&amp;R23)</f>
        <v>0</v>
      </c>
      <c r="T22" s="33">
        <f ca="1" t="shared" si="9"/>
        <v>42642.651090686224</v>
      </c>
      <c r="U22" s="34">
        <f ca="1" t="shared" si="0"/>
        <v>6</v>
      </c>
    </row>
    <row r="23" spans="1:21" ht="15">
      <c r="A23" s="30" t="s">
        <v>157</v>
      </c>
      <c r="B23" s="30">
        <v>0.0035168058423872377</v>
      </c>
      <c r="D23" s="28">
        <f t="shared" si="1"/>
        <v>0</v>
      </c>
      <c r="E23">
        <f>COUNTIF(Vertices[Degree],"&gt;= "&amp;D23)-COUNTIF(Vertices[Degree],"&gt;="&amp;D24)</f>
        <v>0</v>
      </c>
      <c r="F23" s="35">
        <f t="shared" si="2"/>
        <v>7.41176470588235</v>
      </c>
      <c r="G23" s="36">
        <f>COUNTIF(Vertices[In-Degree],"&gt;= "&amp;F23)-COUNTIF(Vertices[In-Degree],"&gt;="&amp;F24)</f>
        <v>0</v>
      </c>
      <c r="H23" s="35">
        <f t="shared" si="3"/>
        <v>22.852941176470594</v>
      </c>
      <c r="I23" s="36">
        <f>COUNTIF(Vertices[Out-Degree],"&gt;= "&amp;H23)-COUNTIF(Vertices[Out-Degree],"&gt;="&amp;H24)</f>
        <v>0</v>
      </c>
      <c r="J23" s="35">
        <f t="shared" si="4"/>
        <v>7792.947692558819</v>
      </c>
      <c r="K23" s="36">
        <f>COUNTIF(Vertices[Betweenness Centrality],"&gt;= "&amp;J23)-COUNTIF(Vertices[Betweenness Centrality],"&gt;="&amp;J24)</f>
        <v>0</v>
      </c>
      <c r="L23" s="35">
        <f t="shared" si="5"/>
        <v>0.11798047058823534</v>
      </c>
      <c r="M23" s="36">
        <f>COUNTIF(Vertices[Closeness Centrality],"&gt;= "&amp;L23)-COUNTIF(Vertices[Closeness Centrality],"&gt;="&amp;L24)</f>
        <v>21</v>
      </c>
      <c r="N23" s="35">
        <f t="shared" si="6"/>
        <v>0.24124552941176478</v>
      </c>
      <c r="O23" s="36">
        <f>COUNTIF(Vertices[Eigenvector Centrality],"&gt;= "&amp;N23)-COUNTIF(Vertices[Eigenvector Centrality],"&gt;="&amp;N24)</f>
        <v>0</v>
      </c>
      <c r="P23" s="35">
        <f t="shared" si="7"/>
        <v>0.014658676470588243</v>
      </c>
      <c r="Q23" s="36">
        <f>COUNTIF(Vertices[PageRank],"&gt;= "&amp;P23)-COUNTIF(Vertices[PageRank],"&gt;="&amp;P24)</f>
        <v>0</v>
      </c>
      <c r="R23" s="35">
        <f t="shared" si="8"/>
        <v>0.3088235294117647</v>
      </c>
      <c r="S23" s="40">
        <f>COUNTIF(Vertices[Clustering Coefficient],"&gt;= "&amp;R23)-COUNTIF(Vertices[Clustering Coefficient],"&gt;="&amp;R24)</f>
        <v>0</v>
      </c>
      <c r="T23" s="35">
        <f ca="1" t="shared" si="9"/>
        <v>42804.78837554461</v>
      </c>
      <c r="U23" s="36">
        <f ca="1" t="shared" si="0"/>
        <v>6</v>
      </c>
    </row>
    <row r="24" spans="1:21" ht="15">
      <c r="A24" s="30" t="s">
        <v>2588</v>
      </c>
      <c r="B24" s="30">
        <v>0.753542</v>
      </c>
      <c r="D24" s="28">
        <f t="shared" si="1"/>
        <v>0</v>
      </c>
      <c r="E24">
        <f>COUNTIF(Vertices[Degree],"&gt;= "&amp;D24)-COUNTIF(Vertices[Degree],"&gt;="&amp;D25)</f>
        <v>0</v>
      </c>
      <c r="F24" s="33">
        <f t="shared" si="2"/>
        <v>7.764705882352938</v>
      </c>
      <c r="G24" s="34">
        <f>COUNTIF(Vertices[In-Degree],"&gt;= "&amp;F24)-COUNTIF(Vertices[In-Degree],"&gt;="&amp;F25)</f>
        <v>3</v>
      </c>
      <c r="H24" s="33">
        <f t="shared" si="3"/>
        <v>23.941176470588243</v>
      </c>
      <c r="I24" s="34">
        <f>COUNTIF(Vertices[Out-Degree],"&gt;= "&amp;H24)-COUNTIF(Vertices[Out-Degree],"&gt;="&amp;H25)</f>
        <v>0</v>
      </c>
      <c r="J24" s="33">
        <f t="shared" si="4"/>
        <v>8164.040439823524</v>
      </c>
      <c r="K24" s="34">
        <f>COUNTIF(Vertices[Betweenness Centrality],"&gt;= "&amp;J24)-COUNTIF(Vertices[Betweenness Centrality],"&gt;="&amp;J25)</f>
        <v>0</v>
      </c>
      <c r="L24" s="33">
        <f t="shared" si="5"/>
        <v>0.12359858823529417</v>
      </c>
      <c r="M24" s="34">
        <f>COUNTIF(Vertices[Closeness Centrality],"&gt;= "&amp;L24)-COUNTIF(Vertices[Closeness Centrality],"&gt;="&amp;L25)</f>
        <v>0</v>
      </c>
      <c r="N24" s="33">
        <f t="shared" si="6"/>
        <v>0.25273341176470593</v>
      </c>
      <c r="O24" s="34">
        <f>COUNTIF(Vertices[Eigenvector Centrality],"&gt;= "&amp;N24)-COUNTIF(Vertices[Eigenvector Centrality],"&gt;="&amp;N25)</f>
        <v>0</v>
      </c>
      <c r="P24" s="33">
        <f t="shared" si="7"/>
        <v>0.015197470588235302</v>
      </c>
      <c r="Q24" s="34">
        <f>COUNTIF(Vertices[PageRank],"&gt;= "&amp;P24)-COUNTIF(Vertices[PageRank],"&gt;="&amp;P25)</f>
        <v>0</v>
      </c>
      <c r="R24" s="33">
        <f t="shared" si="8"/>
        <v>0.3235294117647059</v>
      </c>
      <c r="S24" s="39">
        <f>COUNTIF(Vertices[Clustering Coefficient],"&gt;= "&amp;R24)-COUNTIF(Vertices[Clustering Coefficient],"&gt;="&amp;R25)</f>
        <v>0</v>
      </c>
      <c r="T24" s="33">
        <f ca="1" t="shared" si="9"/>
        <v>42966.925660402994</v>
      </c>
      <c r="U24" s="34">
        <f ca="1" t="shared" si="0"/>
        <v>6</v>
      </c>
    </row>
    <row r="25" spans="1:21" ht="15">
      <c r="A25" s="96"/>
      <c r="B25" s="96"/>
      <c r="D25" s="28">
        <f t="shared" si="1"/>
        <v>0</v>
      </c>
      <c r="E25">
        <f>COUNTIF(Vertices[Degree],"&gt;= "&amp;D25)-COUNTIF(Vertices[Degree],"&gt;="&amp;D26)</f>
        <v>0</v>
      </c>
      <c r="F25" s="35">
        <f t="shared" si="2"/>
        <v>8.117647058823525</v>
      </c>
      <c r="G25" s="36">
        <f>COUNTIF(Vertices[In-Degree],"&gt;= "&amp;F25)-COUNTIF(Vertices[In-Degree],"&gt;="&amp;F26)</f>
        <v>0</v>
      </c>
      <c r="H25" s="35">
        <f t="shared" si="3"/>
        <v>25.02941176470589</v>
      </c>
      <c r="I25" s="36">
        <f>COUNTIF(Vertices[Out-Degree],"&gt;= "&amp;H25)-COUNTIF(Vertices[Out-Degree],"&gt;="&amp;H26)</f>
        <v>0</v>
      </c>
      <c r="J25" s="35">
        <f t="shared" si="4"/>
        <v>8535.13318708823</v>
      </c>
      <c r="K25" s="36">
        <f>COUNTIF(Vertices[Betweenness Centrality],"&gt;= "&amp;J25)-COUNTIF(Vertices[Betweenness Centrality],"&gt;="&amp;J26)</f>
        <v>1</v>
      </c>
      <c r="L25" s="35">
        <f t="shared" si="5"/>
        <v>0.12921670588235298</v>
      </c>
      <c r="M25" s="36">
        <f>COUNTIF(Vertices[Closeness Centrality],"&gt;= "&amp;L25)-COUNTIF(Vertices[Closeness Centrality],"&gt;="&amp;L26)</f>
        <v>20</v>
      </c>
      <c r="N25" s="35">
        <f t="shared" si="6"/>
        <v>0.2642212941176471</v>
      </c>
      <c r="O25" s="36">
        <f>COUNTIF(Vertices[Eigenvector Centrality],"&gt;= "&amp;N25)-COUNTIF(Vertices[Eigenvector Centrality],"&gt;="&amp;N26)</f>
        <v>0</v>
      </c>
      <c r="P25" s="35">
        <f t="shared" si="7"/>
        <v>0.01573626470588236</v>
      </c>
      <c r="Q25" s="36">
        <f>COUNTIF(Vertices[PageRank],"&gt;= "&amp;P25)-COUNTIF(Vertices[PageRank],"&gt;="&amp;P26)</f>
        <v>0</v>
      </c>
      <c r="R25" s="35">
        <f t="shared" si="8"/>
        <v>0.3382352941176471</v>
      </c>
      <c r="S25" s="40">
        <f>COUNTIF(Vertices[Clustering Coefficient],"&gt;= "&amp;R25)-COUNTIF(Vertices[Clustering Coefficient],"&gt;="&amp;R26)</f>
        <v>0</v>
      </c>
      <c r="T25" s="35">
        <f ca="1" t="shared" si="9"/>
        <v>43129.06294526138</v>
      </c>
      <c r="U25" s="36">
        <f ca="1" t="shared" si="0"/>
        <v>4</v>
      </c>
    </row>
    <row r="26" spans="1:21" ht="15">
      <c r="A26" s="30" t="s">
        <v>2589</v>
      </c>
      <c r="B26" s="30" t="s">
        <v>2605</v>
      </c>
      <c r="D26" s="28">
        <f t="shared" si="1"/>
        <v>0</v>
      </c>
      <c r="E26">
        <f>COUNTIF(Vertices[Degree],"&gt;= "&amp;D26)-COUNTIF(Vertices[Degree],"&gt;="&amp;D27)</f>
        <v>0</v>
      </c>
      <c r="F26" s="33">
        <f t="shared" si="2"/>
        <v>8.470588235294114</v>
      </c>
      <c r="G26" s="34">
        <f>COUNTIF(Vertices[In-Degree],"&gt;= "&amp;F26)-COUNTIF(Vertices[In-Degree],"&gt;="&amp;F27)</f>
        <v>0</v>
      </c>
      <c r="H26" s="33">
        <f t="shared" si="3"/>
        <v>26.11764705882354</v>
      </c>
      <c r="I26" s="34">
        <f>COUNTIF(Vertices[Out-Degree],"&gt;= "&amp;H26)-COUNTIF(Vertices[Out-Degree],"&gt;="&amp;H27)</f>
        <v>1</v>
      </c>
      <c r="J26" s="33">
        <f t="shared" si="4"/>
        <v>8906.225934352935</v>
      </c>
      <c r="K26" s="34">
        <f>COUNTIF(Vertices[Betweenness Centrality],"&gt;= "&amp;J26)-COUNTIF(Vertices[Betweenness Centrality],"&gt;="&amp;J27)</f>
        <v>0</v>
      </c>
      <c r="L26" s="33">
        <f t="shared" si="5"/>
        <v>0.1348348235294118</v>
      </c>
      <c r="M26" s="34">
        <f>COUNTIF(Vertices[Closeness Centrality],"&gt;= "&amp;L26)-COUNTIF(Vertices[Closeness Centrality],"&gt;="&amp;L27)</f>
        <v>4</v>
      </c>
      <c r="N26" s="33">
        <f t="shared" si="6"/>
        <v>0.2757091764705883</v>
      </c>
      <c r="O26" s="34">
        <f>COUNTIF(Vertices[Eigenvector Centrality],"&gt;= "&amp;N26)-COUNTIF(Vertices[Eigenvector Centrality],"&gt;="&amp;N27)</f>
        <v>0</v>
      </c>
      <c r="P26" s="33">
        <f t="shared" si="7"/>
        <v>0.016275058823529417</v>
      </c>
      <c r="Q26" s="34">
        <f>COUNTIF(Vertices[PageRank],"&gt;= "&amp;P26)-COUNTIF(Vertices[PageRank],"&gt;="&amp;P27)</f>
        <v>0</v>
      </c>
      <c r="R26" s="33">
        <f t="shared" si="8"/>
        <v>0.35294117647058826</v>
      </c>
      <c r="S26" s="39">
        <f>COUNTIF(Vertices[Clustering Coefficient],"&gt;= "&amp;R26)-COUNTIF(Vertices[Clustering Coefficient],"&gt;="&amp;R27)</f>
        <v>0</v>
      </c>
      <c r="T26" s="33">
        <f ca="1" t="shared" si="9"/>
        <v>43291.200230119764</v>
      </c>
      <c r="U26" s="34">
        <f aca="true" t="shared" si="10" ref="U26:U35">COUNTIF(INDIRECT(DynamicFilterSourceColumnRange),"&gt;= "&amp;T26)-COUNTIF(INDIRECT(DynamicFilterSourceColumnRange),"&gt;="&amp;T27)</f>
        <v>9</v>
      </c>
    </row>
    <row r="27" spans="1:21" ht="15">
      <c r="A27" s="96"/>
      <c r="B27" s="96"/>
      <c r="D27" s="28">
        <f t="shared" si="1"/>
        <v>0</v>
      </c>
      <c r="E27">
        <f>COUNTIF(Vertices[Degree],"&gt;= "&amp;D27)-COUNTIF(Vertices[Degree],"&gt;="&amp;D28)</f>
        <v>0</v>
      </c>
      <c r="F27" s="35">
        <f t="shared" si="2"/>
        <v>8.823529411764703</v>
      </c>
      <c r="G27" s="36">
        <f>COUNTIF(Vertices[In-Degree],"&gt;= "&amp;F27)-COUNTIF(Vertices[In-Degree],"&gt;="&amp;F28)</f>
        <v>0</v>
      </c>
      <c r="H27" s="35">
        <f t="shared" si="3"/>
        <v>27.205882352941188</v>
      </c>
      <c r="I27" s="36">
        <f>COUNTIF(Vertices[Out-Degree],"&gt;= "&amp;H27)-COUNTIF(Vertices[Out-Degree],"&gt;="&amp;H28)</f>
        <v>0</v>
      </c>
      <c r="J27" s="35">
        <f t="shared" si="4"/>
        <v>9277.31868161764</v>
      </c>
      <c r="K27" s="36">
        <f>COUNTIF(Vertices[Betweenness Centrality],"&gt;= "&amp;J27)-COUNTIF(Vertices[Betweenness Centrality],"&gt;="&amp;J28)</f>
        <v>1</v>
      </c>
      <c r="L27" s="35">
        <f t="shared" si="5"/>
        <v>0.14045294117647064</v>
      </c>
      <c r="M27" s="36">
        <f>COUNTIF(Vertices[Closeness Centrality],"&gt;= "&amp;L27)-COUNTIF(Vertices[Closeness Centrality],"&gt;="&amp;L28)</f>
        <v>19</v>
      </c>
      <c r="N27" s="35">
        <f t="shared" si="6"/>
        <v>0.28719705882352947</v>
      </c>
      <c r="O27" s="36">
        <f>COUNTIF(Vertices[Eigenvector Centrality],"&gt;= "&amp;N27)-COUNTIF(Vertices[Eigenvector Centrality],"&gt;="&amp;N28)</f>
        <v>0</v>
      </c>
      <c r="P27" s="35">
        <f t="shared" si="7"/>
        <v>0.016813852941176474</v>
      </c>
      <c r="Q27" s="36">
        <f>COUNTIF(Vertices[PageRank],"&gt;= "&amp;P27)-COUNTIF(Vertices[PageRank],"&gt;="&amp;P28)</f>
        <v>0</v>
      </c>
      <c r="R27" s="35">
        <f t="shared" si="8"/>
        <v>0.36764705882352944</v>
      </c>
      <c r="S27" s="40">
        <f>COUNTIF(Vertices[Clustering Coefficient],"&gt;= "&amp;R27)-COUNTIF(Vertices[Clustering Coefficient],"&gt;="&amp;R28)</f>
        <v>0</v>
      </c>
      <c r="T27" s="35">
        <f ca="1" t="shared" si="9"/>
        <v>43453.33751497815</v>
      </c>
      <c r="U27" s="36">
        <f ca="1" t="shared" si="10"/>
        <v>11</v>
      </c>
    </row>
    <row r="28" spans="1:21" ht="15">
      <c r="A28" s="30" t="s">
        <v>2590</v>
      </c>
      <c r="B28" s="30" t="s">
        <v>11483</v>
      </c>
      <c r="D28" s="28">
        <f t="shared" si="1"/>
        <v>0</v>
      </c>
      <c r="E28">
        <f>COUNTIF(Vertices[Degree],"&gt;= "&amp;D28)-COUNTIF(Vertices[Degree],"&gt;="&amp;D29)</f>
        <v>0</v>
      </c>
      <c r="F28" s="33">
        <f t="shared" si="2"/>
        <v>9.176470588235292</v>
      </c>
      <c r="G28" s="34">
        <f>COUNTIF(Vertices[In-Degree],"&gt;= "&amp;F28)-COUNTIF(Vertices[In-Degree],"&gt;="&amp;F29)</f>
        <v>0</v>
      </c>
      <c r="H28" s="33">
        <f t="shared" si="3"/>
        <v>28.294117647058837</v>
      </c>
      <c r="I28" s="34">
        <f>COUNTIF(Vertices[Out-Degree],"&gt;= "&amp;H28)-COUNTIF(Vertices[Out-Degree],"&gt;="&amp;H29)</f>
        <v>0</v>
      </c>
      <c r="J28" s="33">
        <f t="shared" si="4"/>
        <v>9648.411428882346</v>
      </c>
      <c r="K28" s="34">
        <f>COUNTIF(Vertices[Betweenness Centrality],"&gt;= "&amp;J28)-COUNTIF(Vertices[Betweenness Centrality],"&gt;="&amp;J29)</f>
        <v>2</v>
      </c>
      <c r="L28" s="33">
        <f t="shared" si="5"/>
        <v>0.14607105882352947</v>
      </c>
      <c r="M28" s="34">
        <f>COUNTIF(Vertices[Closeness Centrality],"&gt;= "&amp;L28)-COUNTIF(Vertices[Closeness Centrality],"&gt;="&amp;L29)</f>
        <v>10</v>
      </c>
      <c r="N28" s="33">
        <f t="shared" si="6"/>
        <v>0.29868494117647065</v>
      </c>
      <c r="O28" s="34">
        <f>COUNTIF(Vertices[Eigenvector Centrality],"&gt;= "&amp;N28)-COUNTIF(Vertices[Eigenvector Centrality],"&gt;="&amp;N29)</f>
        <v>0</v>
      </c>
      <c r="P28" s="33">
        <f t="shared" si="7"/>
        <v>0.01735264705882353</v>
      </c>
      <c r="Q28" s="34">
        <f>COUNTIF(Vertices[PageRank],"&gt;= "&amp;P28)-COUNTIF(Vertices[PageRank],"&gt;="&amp;P29)</f>
        <v>0</v>
      </c>
      <c r="R28" s="33">
        <f t="shared" si="8"/>
        <v>0.3823529411764706</v>
      </c>
      <c r="S28" s="39">
        <f>COUNTIF(Vertices[Clustering Coefficient],"&gt;= "&amp;R28)-COUNTIF(Vertices[Clustering Coefficient],"&gt;="&amp;R29)</f>
        <v>0</v>
      </c>
      <c r="T28" s="33">
        <f ca="1" t="shared" si="9"/>
        <v>43615.474799836535</v>
      </c>
      <c r="U28" s="34">
        <f ca="1" t="shared" si="10"/>
        <v>7</v>
      </c>
    </row>
    <row r="29" spans="1:21" ht="15">
      <c r="A29" s="30" t="s">
        <v>2591</v>
      </c>
      <c r="B29" s="30" t="s">
        <v>11484</v>
      </c>
      <c r="D29" s="28">
        <f t="shared" si="1"/>
        <v>0</v>
      </c>
      <c r="E29">
        <f>COUNTIF(Vertices[Degree],"&gt;= "&amp;D29)-COUNTIF(Vertices[Degree],"&gt;="&amp;D30)</f>
        <v>0</v>
      </c>
      <c r="F29" s="35">
        <f t="shared" si="2"/>
        <v>9.52941176470588</v>
      </c>
      <c r="G29" s="36">
        <f>COUNTIF(Vertices[In-Degree],"&gt;= "&amp;F29)-COUNTIF(Vertices[In-Degree],"&gt;="&amp;F30)</f>
        <v>0</v>
      </c>
      <c r="H29" s="35">
        <f t="shared" si="3"/>
        <v>29.382352941176485</v>
      </c>
      <c r="I29" s="36">
        <f>COUNTIF(Vertices[Out-Degree],"&gt;= "&amp;H29)-COUNTIF(Vertices[Out-Degree],"&gt;="&amp;H30)</f>
        <v>0</v>
      </c>
      <c r="J29" s="35">
        <f t="shared" si="4"/>
        <v>10019.504176147051</v>
      </c>
      <c r="K29" s="36">
        <f>COUNTIF(Vertices[Betweenness Centrality],"&gt;= "&amp;J29)-COUNTIF(Vertices[Betweenness Centrality],"&gt;="&amp;J30)</f>
        <v>0</v>
      </c>
      <c r="L29" s="35">
        <f t="shared" si="5"/>
        <v>0.1516891764705883</v>
      </c>
      <c r="M29" s="36">
        <f>COUNTIF(Vertices[Closeness Centrality],"&gt;= "&amp;L29)-COUNTIF(Vertices[Closeness Centrality],"&gt;="&amp;L30)</f>
        <v>3</v>
      </c>
      <c r="N29" s="35">
        <f t="shared" si="6"/>
        <v>0.31017282352941183</v>
      </c>
      <c r="O29" s="36">
        <f>COUNTIF(Vertices[Eigenvector Centrality],"&gt;= "&amp;N29)-COUNTIF(Vertices[Eigenvector Centrality],"&gt;="&amp;N30)</f>
        <v>0</v>
      </c>
      <c r="P29" s="35">
        <f t="shared" si="7"/>
        <v>0.01789144117647059</v>
      </c>
      <c r="Q29" s="36">
        <f>COUNTIF(Vertices[PageRank],"&gt;= "&amp;P29)-COUNTIF(Vertices[PageRank],"&gt;="&amp;P30)</f>
        <v>0</v>
      </c>
      <c r="R29" s="35">
        <f t="shared" si="8"/>
        <v>0.3970588235294118</v>
      </c>
      <c r="S29" s="40">
        <f>COUNTIF(Vertices[Clustering Coefficient],"&gt;= "&amp;R29)-COUNTIF(Vertices[Clustering Coefficient],"&gt;="&amp;R30)</f>
        <v>0</v>
      </c>
      <c r="T29" s="35">
        <f ca="1" t="shared" si="9"/>
        <v>43777.61208469492</v>
      </c>
      <c r="U29" s="36">
        <f ca="1" t="shared" si="10"/>
        <v>11</v>
      </c>
    </row>
    <row r="30" spans="1:21" ht="15">
      <c r="A30" s="96"/>
      <c r="B30" s="96"/>
      <c r="D30" s="28">
        <f t="shared" si="1"/>
        <v>0</v>
      </c>
      <c r="E30">
        <f>COUNTIF(Vertices[Degree],"&gt;= "&amp;D30)-COUNTIF(Vertices[Degree],"&gt;="&amp;D31)</f>
        <v>0</v>
      </c>
      <c r="F30" s="33">
        <f t="shared" si="2"/>
        <v>9.88235294117647</v>
      </c>
      <c r="G30" s="34">
        <f>COUNTIF(Vertices[In-Degree],"&gt;= "&amp;F30)-COUNTIF(Vertices[In-Degree],"&gt;="&amp;F31)</f>
        <v>0</v>
      </c>
      <c r="H30" s="33">
        <f t="shared" si="3"/>
        <v>30.470588235294134</v>
      </c>
      <c r="I30" s="34">
        <f>COUNTIF(Vertices[Out-Degree],"&gt;= "&amp;H30)-COUNTIF(Vertices[Out-Degree],"&gt;="&amp;H31)</f>
        <v>0</v>
      </c>
      <c r="J30" s="33">
        <f t="shared" si="4"/>
        <v>10390.596923411757</v>
      </c>
      <c r="K30" s="34">
        <f>COUNTIF(Vertices[Betweenness Centrality],"&gt;= "&amp;J30)-COUNTIF(Vertices[Betweenness Centrality],"&gt;="&amp;J31)</f>
        <v>0</v>
      </c>
      <c r="L30" s="33">
        <f t="shared" si="5"/>
        <v>0.15730729411764713</v>
      </c>
      <c r="M30" s="34">
        <f>COUNTIF(Vertices[Closeness Centrality],"&gt;= "&amp;L30)-COUNTIF(Vertices[Closeness Centrality],"&gt;="&amp;L31)</f>
        <v>0</v>
      </c>
      <c r="N30" s="33">
        <f t="shared" si="6"/>
        <v>0.321660705882353</v>
      </c>
      <c r="O30" s="34">
        <f>COUNTIF(Vertices[Eigenvector Centrality],"&gt;= "&amp;N30)-COUNTIF(Vertices[Eigenvector Centrality],"&gt;="&amp;N31)</f>
        <v>0</v>
      </c>
      <c r="P30" s="33">
        <f t="shared" si="7"/>
        <v>0.018430235294117647</v>
      </c>
      <c r="Q30" s="34">
        <f>COUNTIF(Vertices[PageRank],"&gt;= "&amp;P30)-COUNTIF(Vertices[PageRank],"&gt;="&amp;P31)</f>
        <v>0</v>
      </c>
      <c r="R30" s="33">
        <f t="shared" si="8"/>
        <v>0.411764705882353</v>
      </c>
      <c r="S30" s="39">
        <f>COUNTIF(Vertices[Clustering Coefficient],"&gt;= "&amp;R30)-COUNTIF(Vertices[Clustering Coefficient],"&gt;="&amp;R31)</f>
        <v>0</v>
      </c>
      <c r="T30" s="33">
        <f ca="1" t="shared" si="9"/>
        <v>43939.749369553305</v>
      </c>
      <c r="U30" s="34">
        <f ca="1" t="shared" si="10"/>
        <v>14</v>
      </c>
    </row>
    <row r="31" spans="1:21" ht="15">
      <c r="A31" s="30" t="s">
        <v>2592</v>
      </c>
      <c r="B31" s="30" t="s">
        <v>2606</v>
      </c>
      <c r="D31" s="28">
        <f t="shared" si="1"/>
        <v>0</v>
      </c>
      <c r="E31">
        <f>COUNTIF(Vertices[Degree],"&gt;= "&amp;D31)-COUNTIF(Vertices[Degree],"&gt;="&amp;D32)</f>
        <v>0</v>
      </c>
      <c r="F31" s="35">
        <f t="shared" si="2"/>
        <v>10.235294117647058</v>
      </c>
      <c r="G31" s="36">
        <f>COUNTIF(Vertices[In-Degree],"&gt;= "&amp;F31)-COUNTIF(Vertices[In-Degree],"&gt;="&amp;F32)</f>
        <v>0</v>
      </c>
      <c r="H31" s="35">
        <f t="shared" si="3"/>
        <v>31.558823529411782</v>
      </c>
      <c r="I31" s="36">
        <f>COUNTIF(Vertices[Out-Degree],"&gt;= "&amp;H31)-COUNTIF(Vertices[Out-Degree],"&gt;="&amp;H32)</f>
        <v>0</v>
      </c>
      <c r="J31" s="35">
        <f t="shared" si="4"/>
        <v>10761.689670676462</v>
      </c>
      <c r="K31" s="36">
        <f>COUNTIF(Vertices[Betweenness Centrality],"&gt;= "&amp;J31)-COUNTIF(Vertices[Betweenness Centrality],"&gt;="&amp;J32)</f>
        <v>0</v>
      </c>
      <c r="L31" s="35">
        <f t="shared" si="5"/>
        <v>0.16292541176470596</v>
      </c>
      <c r="M31" s="36">
        <f>COUNTIF(Vertices[Closeness Centrality],"&gt;= "&amp;L31)-COUNTIF(Vertices[Closeness Centrality],"&gt;="&amp;L32)</f>
        <v>0</v>
      </c>
      <c r="N31" s="35">
        <f t="shared" si="6"/>
        <v>0.3331485882352942</v>
      </c>
      <c r="O31" s="36">
        <f>COUNTIF(Vertices[Eigenvector Centrality],"&gt;= "&amp;N31)-COUNTIF(Vertices[Eigenvector Centrality],"&gt;="&amp;N32)</f>
        <v>0</v>
      </c>
      <c r="P31" s="35">
        <f t="shared" si="7"/>
        <v>0.018969029411764704</v>
      </c>
      <c r="Q31" s="36">
        <f>COUNTIF(Vertices[PageRank],"&gt;= "&amp;P31)-COUNTIF(Vertices[PageRank],"&gt;="&amp;P32)</f>
        <v>0</v>
      </c>
      <c r="R31" s="35">
        <f t="shared" si="8"/>
        <v>0.42647058823529416</v>
      </c>
      <c r="S31" s="40">
        <f>COUNTIF(Vertices[Clustering Coefficient],"&gt;= "&amp;R31)-COUNTIF(Vertices[Clustering Coefficient],"&gt;="&amp;R32)</f>
        <v>0</v>
      </c>
      <c r="T31" s="35">
        <f ca="1" t="shared" si="9"/>
        <v>44101.88665441169</v>
      </c>
      <c r="U31" s="36">
        <f ca="1" t="shared" si="10"/>
        <v>18</v>
      </c>
    </row>
    <row r="32" spans="1:21" ht="15">
      <c r="A32" s="30" t="s">
        <v>2593</v>
      </c>
      <c r="B32" s="30" t="s">
        <v>2607</v>
      </c>
      <c r="D32" s="28">
        <f t="shared" si="1"/>
        <v>0</v>
      </c>
      <c r="E32">
        <f>COUNTIF(Vertices[Degree],"&gt;= "&amp;D32)-COUNTIF(Vertices[Degree],"&gt;="&amp;D33)</f>
        <v>0</v>
      </c>
      <c r="F32" s="33">
        <f t="shared" si="2"/>
        <v>10.588235294117647</v>
      </c>
      <c r="G32" s="34">
        <f>COUNTIF(Vertices[In-Degree],"&gt;= "&amp;F32)-COUNTIF(Vertices[In-Degree],"&gt;="&amp;F33)</f>
        <v>0</v>
      </c>
      <c r="H32" s="33">
        <f t="shared" si="3"/>
        <v>32.64705882352943</v>
      </c>
      <c r="I32" s="34">
        <f>COUNTIF(Vertices[Out-Degree],"&gt;= "&amp;H32)-COUNTIF(Vertices[Out-Degree],"&gt;="&amp;H33)</f>
        <v>0</v>
      </c>
      <c r="J32" s="33">
        <f t="shared" si="4"/>
        <v>11132.782417941167</v>
      </c>
      <c r="K32" s="34">
        <f>COUNTIF(Vertices[Betweenness Centrality],"&gt;= "&amp;J32)-COUNTIF(Vertices[Betweenness Centrality],"&gt;="&amp;J33)</f>
        <v>0</v>
      </c>
      <c r="L32" s="33">
        <f t="shared" si="5"/>
        <v>0.1685435294117648</v>
      </c>
      <c r="M32" s="34">
        <f>COUNTIF(Vertices[Closeness Centrality],"&gt;= "&amp;L32)-COUNTIF(Vertices[Closeness Centrality],"&gt;="&amp;L33)</f>
        <v>3</v>
      </c>
      <c r="N32" s="33">
        <f t="shared" si="6"/>
        <v>0.3446364705882354</v>
      </c>
      <c r="O32" s="34">
        <f>COUNTIF(Vertices[Eigenvector Centrality],"&gt;= "&amp;N32)-COUNTIF(Vertices[Eigenvector Centrality],"&gt;="&amp;N33)</f>
        <v>0</v>
      </c>
      <c r="P32" s="33">
        <f t="shared" si="7"/>
        <v>0.01950782352941176</v>
      </c>
      <c r="Q32" s="34">
        <f>COUNTIF(Vertices[PageRank],"&gt;= "&amp;P32)-COUNTIF(Vertices[PageRank],"&gt;="&amp;P33)</f>
        <v>0</v>
      </c>
      <c r="R32" s="33">
        <f t="shared" si="8"/>
        <v>0.44117647058823534</v>
      </c>
      <c r="S32" s="39">
        <f>COUNTIF(Vertices[Clustering Coefficient],"&gt;= "&amp;R32)-COUNTIF(Vertices[Clustering Coefficient],"&gt;="&amp;R33)</f>
        <v>0</v>
      </c>
      <c r="T32" s="33">
        <f ca="1" t="shared" si="9"/>
        <v>44264.023939270075</v>
      </c>
      <c r="U32" s="34">
        <f ca="1" t="shared" si="10"/>
        <v>27</v>
      </c>
    </row>
    <row r="33" spans="1:21" ht="409.5">
      <c r="A33" s="30" t="s">
        <v>2594</v>
      </c>
      <c r="B33" s="97" t="s">
        <v>2608</v>
      </c>
      <c r="D33" s="28">
        <f t="shared" si="1"/>
        <v>0</v>
      </c>
      <c r="E33">
        <f>COUNTIF(Vertices[Degree],"&gt;= "&amp;D33)-COUNTIF(Vertices[Degree],"&gt;="&amp;D34)</f>
        <v>0</v>
      </c>
      <c r="F33" s="35">
        <f t="shared" si="2"/>
        <v>10.941176470588236</v>
      </c>
      <c r="G33" s="36">
        <f>COUNTIF(Vertices[In-Degree],"&gt;= "&amp;F33)-COUNTIF(Vertices[In-Degree],"&gt;="&amp;F34)</f>
        <v>0</v>
      </c>
      <c r="H33" s="35">
        <f t="shared" si="3"/>
        <v>33.73529411764707</v>
      </c>
      <c r="I33" s="36">
        <f>COUNTIF(Vertices[Out-Degree],"&gt;= "&amp;H33)-COUNTIF(Vertices[Out-Degree],"&gt;="&amp;H34)</f>
        <v>0</v>
      </c>
      <c r="J33" s="35">
        <f t="shared" si="4"/>
        <v>11503.875165205873</v>
      </c>
      <c r="K33" s="36">
        <f>COUNTIF(Vertices[Betweenness Centrality],"&gt;= "&amp;J33)-COUNTIF(Vertices[Betweenness Centrality],"&gt;="&amp;J34)</f>
        <v>0</v>
      </c>
      <c r="L33" s="35">
        <f t="shared" si="5"/>
        <v>0.17416164705882362</v>
      </c>
      <c r="M33" s="36">
        <f>COUNTIF(Vertices[Closeness Centrality],"&gt;= "&amp;L33)-COUNTIF(Vertices[Closeness Centrality],"&gt;="&amp;L34)</f>
        <v>0</v>
      </c>
      <c r="N33" s="35">
        <f t="shared" si="6"/>
        <v>0.35612435294117656</v>
      </c>
      <c r="O33" s="36">
        <f>COUNTIF(Vertices[Eigenvector Centrality],"&gt;= "&amp;N33)-COUNTIF(Vertices[Eigenvector Centrality],"&gt;="&amp;N34)</f>
        <v>0</v>
      </c>
      <c r="P33" s="35">
        <f t="shared" si="7"/>
        <v>0.02004661764705882</v>
      </c>
      <c r="Q33" s="36">
        <f>COUNTIF(Vertices[PageRank],"&gt;= "&amp;P33)-COUNTIF(Vertices[PageRank],"&gt;="&amp;P34)</f>
        <v>0</v>
      </c>
      <c r="R33" s="35">
        <f t="shared" si="8"/>
        <v>0.4558823529411765</v>
      </c>
      <c r="S33" s="40">
        <f>COUNTIF(Vertices[Clustering Coefficient],"&gt;= "&amp;R33)-COUNTIF(Vertices[Clustering Coefficient],"&gt;="&amp;R34)</f>
        <v>0</v>
      </c>
      <c r="T33" s="35">
        <f ca="1" t="shared" si="9"/>
        <v>44426.16122412846</v>
      </c>
      <c r="U33" s="36">
        <f ca="1" t="shared" si="10"/>
        <v>19</v>
      </c>
    </row>
    <row r="34" spans="1:21" ht="15">
      <c r="A34" s="30" t="s">
        <v>2595</v>
      </c>
      <c r="B34" s="30" t="s">
        <v>3489</v>
      </c>
      <c r="D34" s="28">
        <f t="shared" si="1"/>
        <v>0</v>
      </c>
      <c r="E34">
        <f>COUNTIF(Vertices[Degree],"&gt;= "&amp;D34)-COUNTIF(Vertices[Degree],"&gt;="&amp;D35)</f>
        <v>0</v>
      </c>
      <c r="F34" s="33">
        <f t="shared" si="2"/>
        <v>11.294117647058824</v>
      </c>
      <c r="G34" s="34">
        <f>COUNTIF(Vertices[In-Degree],"&gt;= "&amp;F34)-COUNTIF(Vertices[In-Degree],"&gt;="&amp;F35)</f>
        <v>0</v>
      </c>
      <c r="H34" s="33">
        <f t="shared" si="3"/>
        <v>34.82352941176472</v>
      </c>
      <c r="I34" s="34">
        <f>COUNTIF(Vertices[Out-Degree],"&gt;= "&amp;H34)-COUNTIF(Vertices[Out-Degree],"&gt;="&amp;H35)</f>
        <v>0</v>
      </c>
      <c r="J34" s="33">
        <f t="shared" si="4"/>
        <v>11874.967912470578</v>
      </c>
      <c r="K34" s="34">
        <f>COUNTIF(Vertices[Betweenness Centrality],"&gt;= "&amp;J34)-COUNTIF(Vertices[Betweenness Centrality],"&gt;="&amp;J35)</f>
        <v>0</v>
      </c>
      <c r="L34" s="33">
        <f t="shared" si="5"/>
        <v>0.17977976470588244</v>
      </c>
      <c r="M34" s="34">
        <f>COUNTIF(Vertices[Closeness Centrality],"&gt;= "&amp;L34)-COUNTIF(Vertices[Closeness Centrality],"&gt;="&amp;L35)</f>
        <v>0</v>
      </c>
      <c r="N34" s="33">
        <f t="shared" si="6"/>
        <v>0.36761223529411774</v>
      </c>
      <c r="O34" s="34">
        <f>COUNTIF(Vertices[Eigenvector Centrality],"&gt;= "&amp;N34)-COUNTIF(Vertices[Eigenvector Centrality],"&gt;="&amp;N35)</f>
        <v>0</v>
      </c>
      <c r="P34" s="33">
        <f t="shared" si="7"/>
        <v>0.020585411764705876</v>
      </c>
      <c r="Q34" s="34">
        <f>COUNTIF(Vertices[PageRank],"&gt;= "&amp;P34)-COUNTIF(Vertices[PageRank],"&gt;="&amp;P35)</f>
        <v>0</v>
      </c>
      <c r="R34" s="33">
        <f t="shared" si="8"/>
        <v>0.4705882352941177</v>
      </c>
      <c r="S34" s="39">
        <f>COUNTIF(Vertices[Clustering Coefficient],"&gt;= "&amp;R34)-COUNTIF(Vertices[Clustering Coefficient],"&gt;="&amp;R35)</f>
        <v>0</v>
      </c>
      <c r="T34" s="33">
        <f ca="1" t="shared" si="9"/>
        <v>44588.298508986845</v>
      </c>
      <c r="U34" s="34">
        <f ca="1" t="shared" si="10"/>
        <v>14</v>
      </c>
    </row>
    <row r="35" spans="1:21" ht="15">
      <c r="A35" s="30" t="s">
        <v>2596</v>
      </c>
      <c r="B35" s="30" t="s">
        <v>11337</v>
      </c>
      <c r="D35" s="28">
        <f t="shared" si="1"/>
        <v>0</v>
      </c>
      <c r="E35">
        <f>COUNTIF(Vertices[Degree],"&gt;= "&amp;D35)-COUNTIF(Vertices[Degree],"&gt;="&amp;D36)</f>
        <v>0</v>
      </c>
      <c r="F35" s="35">
        <f t="shared" si="2"/>
        <v>11.647058823529413</v>
      </c>
      <c r="G35" s="36">
        <f>COUNTIF(Vertices[In-Degree],"&gt;= "&amp;F35)-COUNTIF(Vertices[In-Degree],"&gt;="&amp;F36)</f>
        <v>0</v>
      </c>
      <c r="H35" s="35">
        <f t="shared" si="3"/>
        <v>35.91176470588236</v>
      </c>
      <c r="I35" s="36">
        <f>COUNTIF(Vertices[Out-Degree],"&gt;= "&amp;H35)-COUNTIF(Vertices[Out-Degree],"&gt;="&amp;H36)</f>
        <v>0</v>
      </c>
      <c r="J35" s="35">
        <f t="shared" si="4"/>
        <v>12246.060659735283</v>
      </c>
      <c r="K35" s="36">
        <f>COUNTIF(Vertices[Betweenness Centrality],"&gt;= "&amp;J35)-COUNTIF(Vertices[Betweenness Centrality],"&gt;="&amp;J36)</f>
        <v>0</v>
      </c>
      <c r="L35" s="35">
        <f t="shared" si="5"/>
        <v>0.18539788235294127</v>
      </c>
      <c r="M35" s="36">
        <f>COUNTIF(Vertices[Closeness Centrality],"&gt;= "&amp;L35)-COUNTIF(Vertices[Closeness Centrality],"&gt;="&amp;L36)</f>
        <v>1</v>
      </c>
      <c r="N35" s="35">
        <f t="shared" si="6"/>
        <v>0.3791001176470589</v>
      </c>
      <c r="O35" s="36">
        <f>COUNTIF(Vertices[Eigenvector Centrality],"&gt;= "&amp;N35)-COUNTIF(Vertices[Eigenvector Centrality],"&gt;="&amp;N36)</f>
        <v>0</v>
      </c>
      <c r="P35" s="35">
        <f t="shared" si="7"/>
        <v>0.021124205882352934</v>
      </c>
      <c r="Q35" s="36">
        <f>COUNTIF(Vertices[PageRank],"&gt;= "&amp;P35)-COUNTIF(Vertices[PageRank],"&gt;="&amp;P36)</f>
        <v>0</v>
      </c>
      <c r="R35" s="35">
        <f t="shared" si="8"/>
        <v>0.4852941176470589</v>
      </c>
      <c r="S35" s="40">
        <f>COUNTIF(Vertices[Clustering Coefficient],"&gt;= "&amp;R35)-COUNTIF(Vertices[Clustering Coefficient],"&gt;="&amp;R36)</f>
        <v>0</v>
      </c>
      <c r="T35" s="35">
        <f ca="1" t="shared" si="9"/>
        <v>44750.43579384523</v>
      </c>
      <c r="U35" s="36">
        <f ca="1" t="shared" si="10"/>
        <v>15</v>
      </c>
    </row>
    <row r="36" spans="1:21" ht="15">
      <c r="A36" s="30" t="s">
        <v>2597</v>
      </c>
      <c r="B36" s="30"/>
      <c r="D36" s="28">
        <f>MAX(Vertices[Degree])</f>
        <v>0</v>
      </c>
      <c r="E36">
        <f>COUNTIF(Vertices[Degree],"&gt;= "&amp;D36)-COUNTIF(Vertices[Degree],"&gt;="&amp;#REF!)</f>
        <v>0</v>
      </c>
      <c r="F36" s="37">
        <f>MAX(Vertices[In-Degree])</f>
        <v>12</v>
      </c>
      <c r="G36" s="38">
        <f>COUNTIF(Vertices[In-Degree],"&gt;= "&amp;F36)-COUNTIF(Vertices[In-Degree],"&gt;="&amp;#REF!)</f>
        <v>2</v>
      </c>
      <c r="H36" s="37">
        <f>MAX(Vertices[Out-Degree])</f>
        <v>37</v>
      </c>
      <c r="I36" s="38">
        <f>COUNTIF(Vertices[Out-Degree],"&gt;= "&amp;H36)-COUNTIF(Vertices[Out-Degree],"&gt;="&amp;#REF!)</f>
        <v>1</v>
      </c>
      <c r="J36" s="37">
        <f>MAX(Vertices[Betweenness Centrality])</f>
        <v>12617.153407</v>
      </c>
      <c r="K36" s="38">
        <f>COUNTIF(Vertices[Betweenness Centrality],"&gt;= "&amp;J36)-COUNTIF(Vertices[Betweenness Centrality],"&gt;="&amp;#REF!)</f>
        <v>1</v>
      </c>
      <c r="L36" s="37">
        <f>MAX(Vertices[Closeness Centrality])</f>
        <v>0.191016</v>
      </c>
      <c r="M36" s="38">
        <f>COUNTIF(Vertices[Closeness Centrality],"&gt;= "&amp;L36)-COUNTIF(Vertices[Closeness Centrality],"&gt;="&amp;#REF!)</f>
        <v>1</v>
      </c>
      <c r="N36" s="37">
        <f>MAX(Vertices[Eigenvector Centrality])</f>
        <v>0.390588</v>
      </c>
      <c r="O36" s="38">
        <f>COUNTIF(Vertices[Eigenvector Centrality],"&gt;= "&amp;N36)-COUNTIF(Vertices[Eigenvector Centrality],"&gt;="&amp;#REF!)</f>
        <v>1</v>
      </c>
      <c r="P36" s="37">
        <f>MAX(Vertices[PageRank])</f>
        <v>0.021663</v>
      </c>
      <c r="Q36" s="38">
        <f>COUNTIF(Vertices[PageRank],"&gt;= "&amp;P36)-COUNTIF(Vertices[PageRank],"&gt;="&amp;#REF!)</f>
        <v>1</v>
      </c>
      <c r="R36" s="37">
        <f>MAX(Vertices[Clustering Coefficient])</f>
        <v>0.5</v>
      </c>
      <c r="S36" s="41">
        <f>COUNTIF(Vertices[Clustering Coefficient],"&gt;= "&amp;R36)-COUNTIF(Vertices[Clustering Coefficient],"&gt;="&amp;#REF!)</f>
        <v>1</v>
      </c>
      <c r="T36" s="37">
        <f ca="1">MAX(INDIRECT(DynamicFilterSourceColumnRange))</f>
        <v>44912.5730787037</v>
      </c>
      <c r="U36" s="38">
        <f ca="1">COUNTIF(INDIRECT(DynamicFilterSourceColumnRange),"&gt;= "&amp;T36)-COUNTIF(INDIRECT(DynamicFilterSourceColumnRange),"&gt;="&amp;#REF!)</f>
        <v>1</v>
      </c>
    </row>
    <row r="37" spans="1:2" ht="15">
      <c r="A37" s="30" t="s">
        <v>2598</v>
      </c>
      <c r="B37" s="30"/>
    </row>
    <row r="38" spans="1:2" ht="15">
      <c r="A38" s="30" t="s">
        <v>2599</v>
      </c>
      <c r="B38" s="30"/>
    </row>
    <row r="39" spans="1:2" ht="15">
      <c r="A39" s="30" t="s">
        <v>2600</v>
      </c>
      <c r="B39" s="30"/>
    </row>
    <row r="40" spans="1:2" ht="15">
      <c r="A40" s="30" t="s">
        <v>21</v>
      </c>
      <c r="B40" s="30"/>
    </row>
    <row r="41" spans="1:2" ht="15">
      <c r="A41" s="30" t="s">
        <v>2601</v>
      </c>
      <c r="B41" s="30" t="s">
        <v>32</v>
      </c>
    </row>
    <row r="42" spans="1:2" ht="15">
      <c r="A42" s="30" t="s">
        <v>2602</v>
      </c>
      <c r="B42" s="30"/>
    </row>
    <row r="43" spans="1:2" ht="15">
      <c r="A43" s="30" t="s">
        <v>2603</v>
      </c>
      <c r="B43" s="30"/>
    </row>
    <row r="60" spans="1:2" ht="15">
      <c r="A60" t="s">
        <v>162</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12</v>
      </c>
    </row>
    <row r="90" spans="1:2" ht="15">
      <c r="A90" s="29" t="s">
        <v>90</v>
      </c>
      <c r="B90" s="43">
        <f>_xlfn.IFERROR(AVERAGE(Vertices[In-Degree]),NoMetricMessage)</f>
        <v>1.1042471042471043</v>
      </c>
    </row>
    <row r="91" spans="1:2" ht="15">
      <c r="A91" s="29" t="s">
        <v>91</v>
      </c>
      <c r="B91" s="43">
        <f>_xlfn.IFERROR(MEDIAN(Vertices[In-Degree]),NoMetricMessage)</f>
        <v>1</v>
      </c>
    </row>
    <row r="102" spans="1:2" ht="15">
      <c r="A102" s="29" t="s">
        <v>94</v>
      </c>
      <c r="B102" s="42">
        <f>IF(COUNT(Vertices[Out-Degree])&gt;0,H2,NoMetricMessage)</f>
        <v>0</v>
      </c>
    </row>
    <row r="103" spans="1:2" ht="15">
      <c r="A103" s="29" t="s">
        <v>95</v>
      </c>
      <c r="B103" s="42">
        <f>IF(COUNT(Vertices[Out-Degree])&gt;0,H36,NoMetricMessage)</f>
        <v>37</v>
      </c>
    </row>
    <row r="104" spans="1:2" ht="15">
      <c r="A104" s="29" t="s">
        <v>96</v>
      </c>
      <c r="B104" s="43">
        <f>_xlfn.IFERROR(AVERAGE(Vertices[Out-Degree]),NoMetricMessage)</f>
        <v>1.1042471042471043</v>
      </c>
    </row>
    <row r="105" spans="1:2" ht="15">
      <c r="A105" s="29" t="s">
        <v>97</v>
      </c>
      <c r="B105" s="43">
        <f>_xlfn.IFERROR(MEDIAN(Vertices[Out-Degree]),NoMetricMessage)</f>
        <v>0</v>
      </c>
    </row>
    <row r="116" spans="1:2" ht="15">
      <c r="A116" s="29" t="s">
        <v>100</v>
      </c>
      <c r="B116" s="43">
        <f>IF(COUNT(Vertices[Betweenness Centrality])&gt;0,J2,NoMetricMessage)</f>
        <v>0</v>
      </c>
    </row>
    <row r="117" spans="1:2" ht="15">
      <c r="A117" s="29" t="s">
        <v>101</v>
      </c>
      <c r="B117" s="43">
        <f>IF(COUNT(Vertices[Betweenness Centrality])&gt;0,J36,NoMetricMessage)</f>
        <v>12617.153407</v>
      </c>
    </row>
    <row r="118" spans="1:2" ht="15">
      <c r="A118" s="29" t="s">
        <v>102</v>
      </c>
      <c r="B118" s="43">
        <f>_xlfn.IFERROR(AVERAGE(Vertices[Betweenness Centrality]),NoMetricMessage)</f>
        <v>353.9613899536679</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0.191016</v>
      </c>
    </row>
    <row r="132" spans="1:2" ht="15">
      <c r="A132" s="29" t="s">
        <v>108</v>
      </c>
      <c r="B132" s="43">
        <f>_xlfn.IFERROR(AVERAGE(Vertices[Closeness Centrality]),NoMetricMessage)</f>
        <v>0.07665343629343649</v>
      </c>
    </row>
    <row r="133" spans="1:2" ht="15">
      <c r="A133" s="29" t="s">
        <v>109</v>
      </c>
      <c r="B133" s="43">
        <f>_xlfn.IFERROR(MEDIAN(Vertices[Closeness Centrality]),NoMetricMessage)</f>
        <v>0.108923</v>
      </c>
    </row>
    <row r="144" spans="1:2" ht="15">
      <c r="A144" s="29" t="s">
        <v>112</v>
      </c>
      <c r="B144" s="43">
        <f>IF(COUNT(Vertices[Eigenvector Centrality])&gt;0,N2,NoMetricMessage)</f>
        <v>0</v>
      </c>
    </row>
    <row r="145" spans="1:2" ht="15">
      <c r="A145" s="29" t="s">
        <v>113</v>
      </c>
      <c r="B145" s="43">
        <f>IF(COUNT(Vertices[Eigenvector Centrality])&gt;0,N36,NoMetricMessage)</f>
        <v>0.390588</v>
      </c>
    </row>
    <row r="146" spans="1:2" ht="15">
      <c r="A146" s="29" t="s">
        <v>114</v>
      </c>
      <c r="B146" s="43">
        <f>_xlfn.IFERROR(AVERAGE(Vertices[Eigenvector Centrality]),NoMetricMessage)</f>
        <v>0.025496803088803078</v>
      </c>
    </row>
    <row r="147" spans="1:2" ht="15">
      <c r="A147" s="29" t="s">
        <v>115</v>
      </c>
      <c r="B147" s="43">
        <f>_xlfn.IFERROR(MEDIAN(Vertices[Eigenvector Centrality]),NoMetricMessage)</f>
        <v>0.001323</v>
      </c>
    </row>
    <row r="158" spans="1:2" ht="15">
      <c r="A158" s="29" t="s">
        <v>139</v>
      </c>
      <c r="B158" s="43">
        <f>IF(COUNT(Vertices[PageRank])&gt;0,P2,NoMetricMessage)</f>
        <v>0.003344</v>
      </c>
    </row>
    <row r="159" spans="1:2" ht="15">
      <c r="A159" s="29" t="s">
        <v>140</v>
      </c>
      <c r="B159" s="43">
        <f>IF(COUNT(Vertices[PageRank])&gt;0,P36,NoMetricMessage)</f>
        <v>0.021663</v>
      </c>
    </row>
    <row r="160" spans="1:2" ht="15">
      <c r="A160" s="29" t="s">
        <v>141</v>
      </c>
      <c r="B160" s="43">
        <f>_xlfn.IFERROR(AVERAGE(Vertices[PageRank]),NoMetricMessage)</f>
        <v>0.00386108108108108</v>
      </c>
    </row>
    <row r="161" spans="1:2" ht="15">
      <c r="A161" s="29" t="s">
        <v>142</v>
      </c>
      <c r="B161" s="43">
        <f>_xlfn.IFERROR(MEDIAN(Vertices[PageRank]),NoMetricMessage)</f>
        <v>0.003515</v>
      </c>
    </row>
    <row r="172" spans="1:2" ht="15">
      <c r="A172" s="29" t="s">
        <v>118</v>
      </c>
      <c r="B172" s="43">
        <f>IF(COUNT(Vertices[Clustering Coefficient])&gt;0,R2,NoMetricMessage)</f>
        <v>0</v>
      </c>
    </row>
    <row r="173" spans="1:2" ht="15">
      <c r="A173" s="29" t="s">
        <v>119</v>
      </c>
      <c r="B173" s="43">
        <f>IF(COUNT(Vertices[Clustering Coefficient])&gt;0,R36,NoMetricMessage)</f>
        <v>0.5</v>
      </c>
    </row>
    <row r="174" spans="1:2" ht="15">
      <c r="A174" s="29" t="s">
        <v>120</v>
      </c>
      <c r="B174" s="43">
        <f>_xlfn.IFERROR(AVERAGE(Vertices[Clustering Coefficient]),NoMetricMessage)</f>
        <v>0.0026913491199205483</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130</v>
      </c>
      <c r="C1" s="3" t="s">
        <v>7</v>
      </c>
      <c r="D1" s="3" t="s">
        <v>9</v>
      </c>
      <c r="E1" s="3" t="s">
        <v>163</v>
      </c>
      <c r="F1" s="4" t="s">
        <v>168</v>
      </c>
      <c r="G1" s="3" t="s">
        <v>14</v>
      </c>
      <c r="H1" s="3" t="s">
        <v>67</v>
      </c>
      <c r="J1" s="3" t="s">
        <v>18</v>
      </c>
      <c r="K1" s="3" t="s">
        <v>17</v>
      </c>
      <c r="M1" s="3" t="s">
        <v>22</v>
      </c>
      <c r="N1" s="3" t="s">
        <v>23</v>
      </c>
      <c r="O1" s="3" t="s">
        <v>24</v>
      </c>
      <c r="P1" s="3" t="s">
        <v>25</v>
      </c>
    </row>
    <row r="2" spans="1:16" ht="15">
      <c r="A2" s="1" t="s">
        <v>51</v>
      </c>
      <c r="B2" s="1" t="s">
        <v>131</v>
      </c>
      <c r="C2" t="s">
        <v>54</v>
      </c>
      <c r="D2" t="s">
        <v>55</v>
      </c>
      <c r="E2" t="s">
        <v>55</v>
      </c>
      <c r="F2" s="1" t="s">
        <v>51</v>
      </c>
      <c r="G2" t="s">
        <v>65</v>
      </c>
      <c r="H2" t="s">
        <v>158</v>
      </c>
      <c r="J2" t="s">
        <v>19</v>
      </c>
      <c r="K2">
        <v>108</v>
      </c>
      <c r="M2" t="s">
        <v>3176</v>
      </c>
      <c r="N2" t="s">
        <v>176</v>
      </c>
      <c r="O2">
        <v>44537.5050810185</v>
      </c>
      <c r="P2">
        <v>45187.9514467593</v>
      </c>
    </row>
    <row r="3" spans="1:16" ht="15">
      <c r="A3" s="1" t="s">
        <v>52</v>
      </c>
      <c r="B3" s="1" t="s">
        <v>132</v>
      </c>
      <c r="C3" t="s">
        <v>52</v>
      </c>
      <c r="D3" t="s">
        <v>56</v>
      </c>
      <c r="E3" t="s">
        <v>56</v>
      </c>
      <c r="F3" s="1" t="s">
        <v>52</v>
      </c>
      <c r="G3" t="s">
        <v>66</v>
      </c>
      <c r="H3" t="s">
        <v>68</v>
      </c>
      <c r="J3" t="s">
        <v>30</v>
      </c>
      <c r="K3" t="s">
        <v>2346</v>
      </c>
      <c r="M3" t="s">
        <v>3176</v>
      </c>
      <c r="N3" t="s">
        <v>178</v>
      </c>
      <c r="O3">
        <v>0</v>
      </c>
      <c r="P3">
        <v>1549</v>
      </c>
    </row>
    <row r="4" spans="1:16" ht="15">
      <c r="A4" s="1" t="s">
        <v>53</v>
      </c>
      <c r="B4" s="1" t="s">
        <v>133</v>
      </c>
      <c r="C4" t="s">
        <v>53</v>
      </c>
      <c r="D4" t="s">
        <v>57</v>
      </c>
      <c r="E4" t="s">
        <v>57</v>
      </c>
      <c r="F4" s="1" t="s">
        <v>53</v>
      </c>
      <c r="G4">
        <v>0</v>
      </c>
      <c r="H4" t="s">
        <v>69</v>
      </c>
      <c r="J4" t="s">
        <v>78</v>
      </c>
      <c r="M4" t="s">
        <v>3176</v>
      </c>
      <c r="N4" t="s">
        <v>179</v>
      </c>
      <c r="O4">
        <v>0</v>
      </c>
      <c r="P4">
        <v>4828</v>
      </c>
    </row>
    <row r="5" spans="1:16" ht="409.5">
      <c r="A5">
        <v>1</v>
      </c>
      <c r="B5" s="1" t="s">
        <v>134</v>
      </c>
      <c r="C5" t="s">
        <v>51</v>
      </c>
      <c r="D5" t="s">
        <v>58</v>
      </c>
      <c r="E5" t="s">
        <v>58</v>
      </c>
      <c r="F5">
        <v>1</v>
      </c>
      <c r="G5">
        <v>1</v>
      </c>
      <c r="H5" t="s">
        <v>70</v>
      </c>
      <c r="J5" t="s">
        <v>171</v>
      </c>
      <c r="K5" s="7" t="s">
        <v>3519</v>
      </c>
      <c r="M5" t="s">
        <v>3176</v>
      </c>
      <c r="N5" t="s">
        <v>180</v>
      </c>
      <c r="O5">
        <v>0</v>
      </c>
      <c r="P5">
        <v>873</v>
      </c>
    </row>
    <row r="6" spans="1:18" ht="15">
      <c r="A6">
        <v>0</v>
      </c>
      <c r="B6" s="1" t="s">
        <v>135</v>
      </c>
      <c r="C6">
        <v>1</v>
      </c>
      <c r="D6" t="s">
        <v>59</v>
      </c>
      <c r="E6" t="s">
        <v>59</v>
      </c>
      <c r="F6">
        <v>0</v>
      </c>
      <c r="H6" t="s">
        <v>71</v>
      </c>
      <c r="J6" t="s">
        <v>172</v>
      </c>
      <c r="K6">
        <v>20</v>
      </c>
      <c r="M6" t="s">
        <v>3176</v>
      </c>
      <c r="N6" t="s">
        <v>181</v>
      </c>
      <c r="O6">
        <v>0</v>
      </c>
      <c r="P6">
        <v>281</v>
      </c>
      <c r="R6" t="s">
        <v>128</v>
      </c>
    </row>
    <row r="7" spans="1:16" ht="15">
      <c r="A7">
        <v>2</v>
      </c>
      <c r="B7">
        <v>1</v>
      </c>
      <c r="C7">
        <v>0</v>
      </c>
      <c r="D7" t="s">
        <v>60</v>
      </c>
      <c r="E7" t="s">
        <v>60</v>
      </c>
      <c r="F7">
        <v>2</v>
      </c>
      <c r="H7" t="s">
        <v>72</v>
      </c>
      <c r="J7" t="s">
        <v>173</v>
      </c>
      <c r="K7" t="s">
        <v>11325</v>
      </c>
      <c r="M7" t="s">
        <v>3176</v>
      </c>
      <c r="N7" t="s">
        <v>192</v>
      </c>
      <c r="O7">
        <v>44537.5050810185</v>
      </c>
      <c r="P7">
        <v>45187.9514467593</v>
      </c>
    </row>
    <row r="8" spans="1:16" ht="409.5">
      <c r="A8"/>
      <c r="B8">
        <v>2</v>
      </c>
      <c r="C8">
        <v>2</v>
      </c>
      <c r="D8" t="s">
        <v>61</v>
      </c>
      <c r="E8" t="s">
        <v>61</v>
      </c>
      <c r="H8" t="s">
        <v>73</v>
      </c>
      <c r="J8" t="s">
        <v>174</v>
      </c>
      <c r="K8" s="7" t="s">
        <v>11324</v>
      </c>
      <c r="M8" t="s">
        <v>3176</v>
      </c>
      <c r="N8" t="s">
        <v>193</v>
      </c>
      <c r="O8">
        <v>44537</v>
      </c>
      <c r="P8">
        <v>45187</v>
      </c>
    </row>
    <row r="9" spans="1:16" ht="409.5">
      <c r="A9"/>
      <c r="B9">
        <v>3</v>
      </c>
      <c r="C9">
        <v>4</v>
      </c>
      <c r="D9" t="s">
        <v>62</v>
      </c>
      <c r="E9" t="s">
        <v>62</v>
      </c>
      <c r="H9" t="s">
        <v>74</v>
      </c>
      <c r="J9" t="s">
        <v>2615</v>
      </c>
      <c r="K9" s="110" t="s">
        <v>3520</v>
      </c>
      <c r="M9" t="s">
        <v>3176</v>
      </c>
      <c r="N9" t="s">
        <v>3046</v>
      </c>
      <c r="O9">
        <v>0</v>
      </c>
      <c r="P9">
        <v>2</v>
      </c>
    </row>
    <row r="10" spans="1:16" ht="409.5">
      <c r="A10"/>
      <c r="B10">
        <v>4</v>
      </c>
      <c r="D10" t="s">
        <v>63</v>
      </c>
      <c r="E10" t="s">
        <v>63</v>
      </c>
      <c r="H10" t="s">
        <v>75</v>
      </c>
      <c r="J10" t="s">
        <v>2616</v>
      </c>
      <c r="K10" s="110" t="s">
        <v>11326</v>
      </c>
      <c r="M10" t="s">
        <v>3176</v>
      </c>
      <c r="N10" t="s">
        <v>3047</v>
      </c>
      <c r="O10">
        <v>0</v>
      </c>
      <c r="P10">
        <v>34</v>
      </c>
    </row>
    <row r="11" spans="1:16" ht="409.5">
      <c r="A11"/>
      <c r="B11">
        <v>5</v>
      </c>
      <c r="D11" t="s">
        <v>46</v>
      </c>
      <c r="E11">
        <v>1</v>
      </c>
      <c r="H11" t="s">
        <v>76</v>
      </c>
      <c r="J11" t="s">
        <v>2617</v>
      </c>
      <c r="K11" s="7" t="s">
        <v>11327</v>
      </c>
      <c r="M11" t="s">
        <v>3176</v>
      </c>
      <c r="N11" t="s">
        <v>3048</v>
      </c>
      <c r="O11">
        <v>0</v>
      </c>
      <c r="P11">
        <v>1</v>
      </c>
    </row>
    <row r="12" spans="1:16" ht="409.5">
      <c r="A12"/>
      <c r="B12"/>
      <c r="D12" t="s">
        <v>64</v>
      </c>
      <c r="E12">
        <v>2</v>
      </c>
      <c r="H12">
        <v>0</v>
      </c>
      <c r="J12" t="s">
        <v>2618</v>
      </c>
      <c r="K12" s="7" t="s">
        <v>11328</v>
      </c>
      <c r="M12" t="s">
        <v>3176</v>
      </c>
      <c r="N12" t="s">
        <v>3049</v>
      </c>
      <c r="O12">
        <v>0</v>
      </c>
      <c r="P12">
        <v>8</v>
      </c>
    </row>
    <row r="13" spans="1:16" ht="409.5">
      <c r="A13"/>
      <c r="B13"/>
      <c r="D13">
        <v>1</v>
      </c>
      <c r="E13">
        <v>3</v>
      </c>
      <c r="H13">
        <v>1</v>
      </c>
      <c r="J13" t="s">
        <v>2619</v>
      </c>
      <c r="K13" s="7" t="s">
        <v>11329</v>
      </c>
      <c r="M13" t="s">
        <v>3176</v>
      </c>
      <c r="N13" t="s">
        <v>3052</v>
      </c>
      <c r="O13">
        <v>1</v>
      </c>
      <c r="P13">
        <v>61</v>
      </c>
    </row>
    <row r="14" spans="4:16" ht="409.5">
      <c r="D14">
        <v>2</v>
      </c>
      <c r="E14">
        <v>4</v>
      </c>
      <c r="H14">
        <v>2</v>
      </c>
      <c r="J14" t="s">
        <v>2620</v>
      </c>
      <c r="K14" s="7" t="s">
        <v>11330</v>
      </c>
      <c r="M14" t="s">
        <v>3176</v>
      </c>
      <c r="N14" t="s">
        <v>3053</v>
      </c>
      <c r="O14">
        <v>66</v>
      </c>
      <c r="P14">
        <v>100</v>
      </c>
    </row>
    <row r="15" spans="4:16" ht="409.5">
      <c r="D15">
        <v>3</v>
      </c>
      <c r="E15">
        <v>5</v>
      </c>
      <c r="H15">
        <v>3</v>
      </c>
      <c r="J15" t="s">
        <v>2621</v>
      </c>
      <c r="K15" s="110" t="s">
        <v>11331</v>
      </c>
      <c r="M15" t="s">
        <v>3176</v>
      </c>
      <c r="N15" t="s">
        <v>3054</v>
      </c>
      <c r="O15">
        <v>1</v>
      </c>
      <c r="P15">
        <v>65</v>
      </c>
    </row>
    <row r="16" spans="4:16" ht="409.5">
      <c r="D16">
        <v>4</v>
      </c>
      <c r="E16">
        <v>6</v>
      </c>
      <c r="H16">
        <v>4</v>
      </c>
      <c r="J16" t="s">
        <v>2622</v>
      </c>
      <c r="K16" s="7" t="s">
        <v>11332</v>
      </c>
      <c r="M16" t="s">
        <v>145</v>
      </c>
      <c r="N16" t="s">
        <v>45</v>
      </c>
      <c r="O16">
        <v>1.5</v>
      </c>
      <c r="P16">
        <v>10</v>
      </c>
    </row>
    <row r="17" spans="4:16" ht="409.5">
      <c r="D17">
        <v>5</v>
      </c>
      <c r="E17">
        <v>7</v>
      </c>
      <c r="H17">
        <v>5</v>
      </c>
      <c r="J17" t="s">
        <v>2623</v>
      </c>
      <c r="K17" s="7" t="s">
        <v>11333</v>
      </c>
      <c r="M17" t="s">
        <v>145</v>
      </c>
      <c r="N17" t="s">
        <v>15</v>
      </c>
      <c r="O17">
        <v>45.3253479003906</v>
      </c>
      <c r="P17">
        <v>9947.9287109375</v>
      </c>
    </row>
    <row r="18" spans="4:16" ht="15">
      <c r="D18">
        <v>6</v>
      </c>
      <c r="E18">
        <v>8</v>
      </c>
      <c r="H18">
        <v>6</v>
      </c>
      <c r="J18" t="s">
        <v>2624</v>
      </c>
      <c r="K18" t="s">
        <v>11334</v>
      </c>
      <c r="M18" t="s">
        <v>145</v>
      </c>
      <c r="N18" t="s">
        <v>16</v>
      </c>
      <c r="O18">
        <v>209.64387512207</v>
      </c>
      <c r="P18">
        <v>9789.3564453125</v>
      </c>
    </row>
    <row r="19" spans="4:16" ht="15">
      <c r="D19">
        <v>7</v>
      </c>
      <c r="E19">
        <v>9</v>
      </c>
      <c r="H19">
        <v>7</v>
      </c>
      <c r="J19" t="s">
        <v>2625</v>
      </c>
      <c r="K19" t="s">
        <v>11335</v>
      </c>
      <c r="M19" t="s">
        <v>145</v>
      </c>
      <c r="N19" t="s">
        <v>32</v>
      </c>
      <c r="O19">
        <v>0</v>
      </c>
      <c r="P19">
        <v>12</v>
      </c>
    </row>
    <row r="20" spans="4:16" ht="409.5">
      <c r="D20">
        <v>8</v>
      </c>
      <c r="H20">
        <v>8</v>
      </c>
      <c r="J20" t="s">
        <v>2626</v>
      </c>
      <c r="K20" s="7" t="s">
        <v>11336</v>
      </c>
      <c r="M20" t="s">
        <v>145</v>
      </c>
      <c r="N20" t="s">
        <v>33</v>
      </c>
      <c r="O20">
        <v>0</v>
      </c>
      <c r="P20">
        <v>37</v>
      </c>
    </row>
    <row r="21" spans="4:16" ht="409.5">
      <c r="D21">
        <v>9</v>
      </c>
      <c r="H21">
        <v>9</v>
      </c>
      <c r="J21" t="s">
        <v>3231</v>
      </c>
      <c r="K21" s="7" t="s">
        <v>11376</v>
      </c>
      <c r="M21" t="s">
        <v>145</v>
      </c>
      <c r="N21" t="s">
        <v>34</v>
      </c>
      <c r="O21">
        <v>0</v>
      </c>
      <c r="P21">
        <v>12617.153407</v>
      </c>
    </row>
    <row r="22" spans="4:16" ht="409.5">
      <c r="D22">
        <v>10</v>
      </c>
      <c r="J22" t="s">
        <v>3402</v>
      </c>
      <c r="K22" s="7" t="s">
        <v>11377</v>
      </c>
      <c r="M22" t="s">
        <v>145</v>
      </c>
      <c r="N22" t="s">
        <v>35</v>
      </c>
      <c r="O22">
        <v>0</v>
      </c>
      <c r="P22">
        <v>0.191016</v>
      </c>
    </row>
    <row r="23" spans="4:16" ht="409.5">
      <c r="D23">
        <v>11</v>
      </c>
      <c r="J23" t="s">
        <v>3403</v>
      </c>
      <c r="K23" s="7" t="s">
        <v>11378</v>
      </c>
      <c r="M23" t="s">
        <v>145</v>
      </c>
      <c r="N23" t="s">
        <v>36</v>
      </c>
      <c r="O23">
        <v>0</v>
      </c>
      <c r="P23">
        <v>0.390588</v>
      </c>
    </row>
    <row r="24" spans="10:16" ht="409.5">
      <c r="J24" t="s">
        <v>3466</v>
      </c>
      <c r="K24" s="7" t="s">
        <v>11379</v>
      </c>
      <c r="M24" t="s">
        <v>145</v>
      </c>
      <c r="N24" t="s">
        <v>136</v>
      </c>
      <c r="O24">
        <v>0</v>
      </c>
      <c r="P24">
        <v>0.021663</v>
      </c>
    </row>
    <row r="25" spans="10:16" ht="409.5">
      <c r="J25" t="s">
        <v>3467</v>
      </c>
      <c r="K25" s="7" t="s">
        <v>11485</v>
      </c>
      <c r="M25" t="s">
        <v>145</v>
      </c>
      <c r="N25" t="s">
        <v>37</v>
      </c>
      <c r="O25">
        <v>0</v>
      </c>
      <c r="P25">
        <v>0.5</v>
      </c>
    </row>
    <row r="26" spans="10:16" ht="409.5">
      <c r="J26" t="s">
        <v>3468</v>
      </c>
      <c r="K26" s="7" t="s">
        <v>11486</v>
      </c>
      <c r="M26" t="s">
        <v>145</v>
      </c>
      <c r="N26" t="s">
        <v>1498</v>
      </c>
      <c r="O26">
        <v>0</v>
      </c>
      <c r="P26">
        <v>79634816</v>
      </c>
    </row>
    <row r="27" spans="10:16" ht="45">
      <c r="J27" t="s">
        <v>3469</v>
      </c>
      <c r="K27" s="7" t="s">
        <v>11487</v>
      </c>
      <c r="M27" t="s">
        <v>145</v>
      </c>
      <c r="N27" t="s">
        <v>1499</v>
      </c>
      <c r="O27">
        <v>0</v>
      </c>
      <c r="P27">
        <v>191128</v>
      </c>
    </row>
    <row r="28" spans="10:16" ht="15">
      <c r="J28" t="s">
        <v>3470</v>
      </c>
      <c r="K28" t="s">
        <v>3480</v>
      </c>
      <c r="M28" t="s">
        <v>145</v>
      </c>
      <c r="N28" t="s">
        <v>1500</v>
      </c>
      <c r="O28">
        <v>9</v>
      </c>
      <c r="P28">
        <v>1505797</v>
      </c>
    </row>
    <row r="29" spans="10:16" ht="15">
      <c r="J29" t="s">
        <v>3471</v>
      </c>
      <c r="K29" t="s">
        <v>3481</v>
      </c>
      <c r="M29" t="s">
        <v>145</v>
      </c>
      <c r="N29" t="s">
        <v>1501</v>
      </c>
      <c r="O29">
        <v>0</v>
      </c>
      <c r="P29">
        <v>79783</v>
      </c>
    </row>
    <row r="30" spans="10:16" ht="15">
      <c r="J30" t="s">
        <v>3472</v>
      </c>
      <c r="K30" t="s">
        <v>3482</v>
      </c>
      <c r="M30" t="s">
        <v>145</v>
      </c>
      <c r="N30" t="s">
        <v>1502</v>
      </c>
      <c r="O30">
        <v>0</v>
      </c>
      <c r="P30">
        <v>387444</v>
      </c>
    </row>
    <row r="31" spans="10:16" ht="409.5">
      <c r="J31" t="s">
        <v>3473</v>
      </c>
      <c r="K31" s="7" t="s">
        <v>3483</v>
      </c>
      <c r="M31" t="s">
        <v>145</v>
      </c>
      <c r="N31" t="s">
        <v>1503</v>
      </c>
      <c r="O31">
        <v>0</v>
      </c>
      <c r="P31">
        <v>507835</v>
      </c>
    </row>
    <row r="32" spans="10:16" ht="409.5">
      <c r="J32" t="s">
        <v>3474</v>
      </c>
      <c r="K32" s="7" t="s">
        <v>3484</v>
      </c>
      <c r="M32" t="s">
        <v>145</v>
      </c>
      <c r="N32" t="s">
        <v>1505</v>
      </c>
      <c r="O32">
        <v>39399.9053935185</v>
      </c>
      <c r="P32">
        <v>44912.5730787037</v>
      </c>
    </row>
    <row r="33" spans="10:16" ht="409.5">
      <c r="J33" t="s">
        <v>3475</v>
      </c>
      <c r="K33" s="110" t="s">
        <v>3485</v>
      </c>
      <c r="M33" t="s">
        <v>145</v>
      </c>
      <c r="N33" t="s">
        <v>3046</v>
      </c>
      <c r="O33">
        <v>0</v>
      </c>
      <c r="P33">
        <v>2</v>
      </c>
    </row>
    <row r="34" spans="10:16" ht="409.5">
      <c r="J34" t="s">
        <v>3476</v>
      </c>
      <c r="K34" s="7" t="s">
        <v>3486</v>
      </c>
      <c r="M34" t="s">
        <v>145</v>
      </c>
      <c r="N34" t="s">
        <v>3047</v>
      </c>
      <c r="O34">
        <v>0</v>
      </c>
      <c r="P34">
        <v>34</v>
      </c>
    </row>
    <row r="35" spans="10:16" ht="409.5">
      <c r="J35" t="s">
        <v>3477</v>
      </c>
      <c r="K35" s="110" t="s">
        <v>3487</v>
      </c>
      <c r="M35" t="s">
        <v>145</v>
      </c>
      <c r="N35" t="s">
        <v>3048</v>
      </c>
      <c r="O35">
        <v>0</v>
      </c>
      <c r="P35">
        <v>1</v>
      </c>
    </row>
    <row r="36" spans="10:16" ht="409.5">
      <c r="J36" t="s">
        <v>3479</v>
      </c>
      <c r="K36" s="7" t="s">
        <v>3488</v>
      </c>
      <c r="M36" t="s">
        <v>145</v>
      </c>
      <c r="N36" t="s">
        <v>3049</v>
      </c>
      <c r="O36">
        <v>0</v>
      </c>
      <c r="P36">
        <v>0.892857142857143</v>
      </c>
    </row>
    <row r="37" spans="13:16" ht="15">
      <c r="M37" t="s">
        <v>145</v>
      </c>
      <c r="N37" t="s">
        <v>3052</v>
      </c>
      <c r="O37">
        <v>1</v>
      </c>
      <c r="P37">
        <v>317</v>
      </c>
    </row>
    <row r="38" spans="13:16" ht="15">
      <c r="M38" t="s">
        <v>145</v>
      </c>
      <c r="N38" t="s">
        <v>3053</v>
      </c>
      <c r="O38">
        <v>66</v>
      </c>
      <c r="P38">
        <v>100</v>
      </c>
    </row>
    <row r="39" spans="13:16" ht="15">
      <c r="M39" t="s">
        <v>145</v>
      </c>
      <c r="N39" t="s">
        <v>3055</v>
      </c>
      <c r="O39">
        <v>1</v>
      </c>
      <c r="P39">
        <v>319</v>
      </c>
    </row>
    <row r="40" spans="13:16" ht="15">
      <c r="M40" t="s">
        <v>3176</v>
      </c>
      <c r="N40" t="s">
        <v>3050</v>
      </c>
      <c r="O40">
        <v>0</v>
      </c>
      <c r="P40">
        <v>1</v>
      </c>
    </row>
    <row r="41" spans="13:16" ht="15">
      <c r="M41" t="s">
        <v>3176</v>
      </c>
      <c r="N41" t="s">
        <v>3051</v>
      </c>
      <c r="O41">
        <v>0</v>
      </c>
      <c r="P41">
        <v>12.5</v>
      </c>
    </row>
    <row r="42" spans="13:16" ht="15">
      <c r="M42" t="s">
        <v>3176</v>
      </c>
      <c r="N42" t="s">
        <v>3177</v>
      </c>
      <c r="O42">
        <v>1</v>
      </c>
      <c r="P42">
        <v>4</v>
      </c>
    </row>
    <row r="43" spans="13:16" ht="15">
      <c r="M43" t="s">
        <v>145</v>
      </c>
      <c r="N43" t="s">
        <v>3050</v>
      </c>
      <c r="O43">
        <v>0</v>
      </c>
      <c r="P43">
        <v>1</v>
      </c>
    </row>
    <row r="44" spans="13:16" ht="15">
      <c r="M44" t="s">
        <v>145</v>
      </c>
      <c r="N44" t="s">
        <v>3051</v>
      </c>
      <c r="O44">
        <v>0</v>
      </c>
      <c r="P44">
        <v>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B38A-D6ED-4A8C-BEE8-BD8893848EB6}">
  <dimension ref="A1:B102"/>
  <sheetViews>
    <sheetView workbookViewId="0" topLeftCell="A1">
      <selection activeCell="L53" sqref="L53"/>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 ht="15" customHeight="1">
      <c r="A1" s="7" t="s">
        <v>2347</v>
      </c>
      <c r="B1" s="7" t="s">
        <v>2358</v>
      </c>
    </row>
    <row r="2" spans="1:2" ht="15">
      <c r="A2" s="76" t="s">
        <v>2348</v>
      </c>
      <c r="B2" s="112">
        <v>2</v>
      </c>
    </row>
    <row r="3" spans="1:2" ht="15">
      <c r="A3" s="75" t="s">
        <v>2349</v>
      </c>
      <c r="B3" s="112">
        <v>1</v>
      </c>
    </row>
    <row r="4" spans="1:2" ht="15">
      <c r="A4" s="75" t="s">
        <v>2350</v>
      </c>
      <c r="B4" s="112">
        <v>1</v>
      </c>
    </row>
    <row r="5" spans="1:2" ht="15">
      <c r="A5" s="75" t="s">
        <v>2351</v>
      </c>
      <c r="B5" s="112">
        <v>1</v>
      </c>
    </row>
    <row r="6" spans="1:2" ht="15">
      <c r="A6" s="75" t="s">
        <v>2352</v>
      </c>
      <c r="B6" s="112">
        <v>1</v>
      </c>
    </row>
    <row r="7" spans="1:2" ht="15">
      <c r="A7" s="75" t="s">
        <v>2353</v>
      </c>
      <c r="B7" s="112">
        <v>1</v>
      </c>
    </row>
    <row r="8" spans="1:2" ht="15">
      <c r="A8" s="75" t="s">
        <v>2354</v>
      </c>
      <c r="B8" s="112">
        <v>1</v>
      </c>
    </row>
    <row r="9" spans="1:2" ht="15">
      <c r="A9" s="75" t="s">
        <v>2355</v>
      </c>
      <c r="B9" s="112">
        <v>1</v>
      </c>
    </row>
    <row r="10" spans="1:2" ht="15">
      <c r="A10" s="75" t="s">
        <v>2356</v>
      </c>
      <c r="B10" s="112">
        <v>1</v>
      </c>
    </row>
    <row r="11" spans="1:2" ht="15">
      <c r="A11" s="75" t="s">
        <v>2357</v>
      </c>
      <c r="B11" s="112">
        <v>1</v>
      </c>
    </row>
    <row r="14" spans="1:2" ht="15" customHeight="1">
      <c r="A14" s="7" t="s">
        <v>2360</v>
      </c>
      <c r="B14" s="7" t="s">
        <v>2358</v>
      </c>
    </row>
    <row r="15" spans="1:2" ht="15">
      <c r="A15" s="112" t="s">
        <v>712</v>
      </c>
      <c r="B15" s="112">
        <v>3</v>
      </c>
    </row>
    <row r="16" spans="1:2" ht="15">
      <c r="A16" s="113" t="s">
        <v>710</v>
      </c>
      <c r="B16" s="112">
        <v>2</v>
      </c>
    </row>
    <row r="17" spans="1:2" ht="15">
      <c r="A17" s="113" t="s">
        <v>717</v>
      </c>
      <c r="B17" s="112">
        <v>2</v>
      </c>
    </row>
    <row r="18" spans="1:2" ht="15">
      <c r="A18" s="113" t="s">
        <v>709</v>
      </c>
      <c r="B18" s="112">
        <v>2</v>
      </c>
    </row>
    <row r="19" spans="1:2" ht="15">
      <c r="A19" s="113" t="s">
        <v>714</v>
      </c>
      <c r="B19" s="112">
        <v>2</v>
      </c>
    </row>
    <row r="20" spans="1:2" ht="15">
      <c r="A20" s="113" t="s">
        <v>711</v>
      </c>
      <c r="B20" s="112">
        <v>2</v>
      </c>
    </row>
    <row r="21" spans="1:2" ht="15">
      <c r="A21" s="113" t="s">
        <v>720</v>
      </c>
      <c r="B21" s="112">
        <v>1</v>
      </c>
    </row>
    <row r="22" spans="1:2" ht="15">
      <c r="A22" s="113" t="s">
        <v>715</v>
      </c>
      <c r="B22" s="112">
        <v>1</v>
      </c>
    </row>
    <row r="23" spans="1:2" ht="15">
      <c r="A23" s="113" t="s">
        <v>713</v>
      </c>
      <c r="B23" s="112">
        <v>1</v>
      </c>
    </row>
    <row r="24" spans="1:2" ht="15">
      <c r="A24" s="113" t="s">
        <v>718</v>
      </c>
      <c r="B24" s="112">
        <v>1</v>
      </c>
    </row>
    <row r="27" spans="1:2" ht="15" customHeight="1">
      <c r="A27" s="7" t="s">
        <v>2362</v>
      </c>
      <c r="B27" s="7" t="s">
        <v>2358</v>
      </c>
    </row>
    <row r="28" spans="1:2" ht="15">
      <c r="A28" s="112" t="s">
        <v>682</v>
      </c>
      <c r="B28" s="112">
        <v>52</v>
      </c>
    </row>
    <row r="29" spans="1:2" ht="15">
      <c r="A29" s="113" t="s">
        <v>2363</v>
      </c>
      <c r="B29" s="112">
        <v>6</v>
      </c>
    </row>
    <row r="30" spans="1:2" ht="15">
      <c r="A30" s="113" t="s">
        <v>2365</v>
      </c>
      <c r="B30" s="112">
        <v>3</v>
      </c>
    </row>
    <row r="31" spans="1:2" ht="15">
      <c r="A31" s="113" t="s">
        <v>705</v>
      </c>
      <c r="B31" s="112">
        <v>2</v>
      </c>
    </row>
    <row r="32" spans="1:2" ht="15">
      <c r="A32" s="113" t="s">
        <v>2367</v>
      </c>
      <c r="B32" s="112">
        <v>2</v>
      </c>
    </row>
    <row r="33" spans="1:2" ht="15">
      <c r="A33" s="113" t="s">
        <v>2368</v>
      </c>
      <c r="B33" s="112">
        <v>2</v>
      </c>
    </row>
    <row r="34" spans="1:2" ht="15">
      <c r="A34" s="113" t="s">
        <v>2369</v>
      </c>
      <c r="B34" s="112">
        <v>2</v>
      </c>
    </row>
    <row r="35" spans="1:2" ht="15">
      <c r="A35" s="113" t="s">
        <v>2370</v>
      </c>
      <c r="B35" s="112">
        <v>2</v>
      </c>
    </row>
    <row r="36" spans="1:2" ht="15">
      <c r="A36" s="113" t="s">
        <v>2366</v>
      </c>
      <c r="B36" s="112">
        <v>2</v>
      </c>
    </row>
    <row r="37" spans="1:2" ht="15">
      <c r="A37" s="113" t="s">
        <v>2416</v>
      </c>
      <c r="B37" s="112">
        <v>2</v>
      </c>
    </row>
    <row r="40" spans="1:2" ht="15" customHeight="1">
      <c r="A40" s="7" t="s">
        <v>2372</v>
      </c>
      <c r="B40" s="7" t="s">
        <v>2358</v>
      </c>
    </row>
    <row r="41" spans="1:2" ht="15">
      <c r="A41" s="116" t="s">
        <v>2373</v>
      </c>
      <c r="B41" s="116">
        <v>135</v>
      </c>
    </row>
    <row r="42" spans="1:2" ht="15">
      <c r="A42" s="114" t="s">
        <v>2374</v>
      </c>
      <c r="B42" s="116">
        <v>129</v>
      </c>
    </row>
    <row r="43" spans="1:2" ht="15">
      <c r="A43" s="114" t="s">
        <v>681</v>
      </c>
      <c r="B43" s="116">
        <v>126</v>
      </c>
    </row>
    <row r="44" spans="1:2" ht="15">
      <c r="A44" s="114" t="s">
        <v>2376</v>
      </c>
      <c r="B44" s="116">
        <v>54</v>
      </c>
    </row>
    <row r="45" spans="1:2" ht="15">
      <c r="A45" s="114" t="s">
        <v>2375</v>
      </c>
      <c r="B45" s="116">
        <v>52</v>
      </c>
    </row>
    <row r="46" spans="1:2" ht="15">
      <c r="A46" s="114" t="s">
        <v>2377</v>
      </c>
      <c r="B46" s="116">
        <v>45</v>
      </c>
    </row>
    <row r="47" spans="1:2" ht="15">
      <c r="A47" s="114" t="s">
        <v>2379</v>
      </c>
      <c r="B47" s="116">
        <v>26</v>
      </c>
    </row>
    <row r="48" spans="1:2" ht="15">
      <c r="A48" s="114" t="s">
        <v>2380</v>
      </c>
      <c r="B48" s="116">
        <v>24</v>
      </c>
    </row>
    <row r="49" spans="1:2" ht="15">
      <c r="A49" s="114" t="s">
        <v>2378</v>
      </c>
      <c r="B49" s="116">
        <v>23</v>
      </c>
    </row>
    <row r="50" spans="1:2" ht="15">
      <c r="A50" s="114" t="s">
        <v>2638</v>
      </c>
      <c r="B50" s="116">
        <v>19</v>
      </c>
    </row>
    <row r="53" spans="1:2" ht="15" customHeight="1">
      <c r="A53" s="7" t="s">
        <v>2383</v>
      </c>
      <c r="B53" s="7" t="s">
        <v>2358</v>
      </c>
    </row>
    <row r="54" spans="1:2" ht="15">
      <c r="A54" s="116" t="s">
        <v>2384</v>
      </c>
      <c r="B54" s="116">
        <v>115</v>
      </c>
    </row>
    <row r="55" spans="1:2" ht="15">
      <c r="A55" s="114" t="s">
        <v>2385</v>
      </c>
      <c r="B55" s="116">
        <v>97</v>
      </c>
    </row>
    <row r="56" spans="1:2" ht="15">
      <c r="A56" s="114" t="s">
        <v>2386</v>
      </c>
      <c r="B56" s="116">
        <v>11</v>
      </c>
    </row>
    <row r="57" spans="1:2" ht="15">
      <c r="A57" s="114" t="s">
        <v>2388</v>
      </c>
      <c r="B57" s="116">
        <v>10</v>
      </c>
    </row>
    <row r="58" spans="1:2" ht="15">
      <c r="A58" s="114" t="s">
        <v>2389</v>
      </c>
      <c r="B58" s="116">
        <v>10</v>
      </c>
    </row>
    <row r="59" spans="1:2" ht="15">
      <c r="A59" s="114" t="s">
        <v>2387</v>
      </c>
      <c r="B59" s="116">
        <v>9</v>
      </c>
    </row>
    <row r="60" spans="1:2" ht="15">
      <c r="A60" s="114" t="s">
        <v>2391</v>
      </c>
      <c r="B60" s="116">
        <v>7</v>
      </c>
    </row>
    <row r="61" spans="1:2" ht="15">
      <c r="A61" s="114" t="s">
        <v>2392</v>
      </c>
      <c r="B61" s="116">
        <v>7</v>
      </c>
    </row>
    <row r="62" spans="1:2" ht="15">
      <c r="A62" s="114" t="s">
        <v>2390</v>
      </c>
      <c r="B62" s="116">
        <v>6</v>
      </c>
    </row>
    <row r="63" spans="1:2" ht="15">
      <c r="A63" s="114" t="s">
        <v>3316</v>
      </c>
      <c r="B63" s="116">
        <v>5</v>
      </c>
    </row>
    <row r="66" spans="1:2" ht="15" customHeight="1">
      <c r="A66" s="7" t="s">
        <v>2395</v>
      </c>
      <c r="B66" s="7" t="s">
        <v>2358</v>
      </c>
    </row>
    <row r="67" spans="1:2" ht="15">
      <c r="A67" s="112" t="s">
        <v>318</v>
      </c>
      <c r="B67" s="112">
        <v>8</v>
      </c>
    </row>
    <row r="68" spans="1:2" ht="15">
      <c r="A68" s="113" t="s">
        <v>341</v>
      </c>
      <c r="B68" s="112">
        <v>6</v>
      </c>
    </row>
    <row r="69" spans="1:2" ht="15">
      <c r="A69" s="113" t="s">
        <v>334</v>
      </c>
      <c r="B69" s="112">
        <v>5</v>
      </c>
    </row>
    <row r="70" spans="1:2" ht="15">
      <c r="A70" s="113" t="s">
        <v>314</v>
      </c>
      <c r="B70" s="112">
        <v>3</v>
      </c>
    </row>
    <row r="71" spans="1:2" ht="15">
      <c r="A71" s="113" t="s">
        <v>339</v>
      </c>
      <c r="B71" s="112">
        <v>3</v>
      </c>
    </row>
    <row r="72" spans="1:2" ht="15">
      <c r="A72" s="113" t="s">
        <v>328</v>
      </c>
      <c r="B72" s="112">
        <v>3</v>
      </c>
    </row>
    <row r="73" spans="1:2" ht="15">
      <c r="A73" s="113" t="s">
        <v>400</v>
      </c>
      <c r="B73" s="112">
        <v>2</v>
      </c>
    </row>
    <row r="74" spans="1:2" ht="15">
      <c r="A74" s="113" t="s">
        <v>354</v>
      </c>
      <c r="B74" s="112">
        <v>2</v>
      </c>
    </row>
    <row r="75" spans="1:2" ht="15">
      <c r="A75" s="113" t="s">
        <v>338</v>
      </c>
      <c r="B75" s="112">
        <v>2</v>
      </c>
    </row>
    <row r="76" spans="1:2" ht="15">
      <c r="A76" s="113" t="s">
        <v>288</v>
      </c>
      <c r="B76" s="112">
        <v>2</v>
      </c>
    </row>
    <row r="79" spans="1:2" ht="15" customHeight="1">
      <c r="A79" s="7" t="s">
        <v>2396</v>
      </c>
      <c r="B79" s="7" t="s">
        <v>2358</v>
      </c>
    </row>
    <row r="80" spans="1:2" ht="15">
      <c r="A80" s="112" t="s">
        <v>268</v>
      </c>
      <c r="B80" s="112">
        <v>4</v>
      </c>
    </row>
    <row r="81" spans="1:2" ht="15">
      <c r="A81" s="113" t="s">
        <v>389</v>
      </c>
      <c r="B81" s="112">
        <v>3</v>
      </c>
    </row>
    <row r="82" spans="1:2" ht="15">
      <c r="A82" s="113" t="s">
        <v>394</v>
      </c>
      <c r="B82" s="112">
        <v>3</v>
      </c>
    </row>
    <row r="83" spans="1:2" ht="15">
      <c r="A83" s="113" t="s">
        <v>318</v>
      </c>
      <c r="B83" s="112">
        <v>3</v>
      </c>
    </row>
    <row r="84" spans="1:2" ht="15">
      <c r="A84" s="113" t="s">
        <v>456</v>
      </c>
      <c r="B84" s="112">
        <v>2</v>
      </c>
    </row>
    <row r="85" spans="1:2" ht="15">
      <c r="A85" s="113" t="s">
        <v>2397</v>
      </c>
      <c r="B85" s="112">
        <v>2</v>
      </c>
    </row>
    <row r="86" spans="1:2" ht="15">
      <c r="A86" s="113" t="s">
        <v>422</v>
      </c>
      <c r="B86" s="112">
        <v>2</v>
      </c>
    </row>
    <row r="87" spans="1:2" ht="15">
      <c r="A87" s="113" t="s">
        <v>419</v>
      </c>
      <c r="B87" s="112">
        <v>2</v>
      </c>
    </row>
    <row r="88" spans="1:2" ht="15">
      <c r="A88" s="113" t="s">
        <v>341</v>
      </c>
      <c r="B88" s="112">
        <v>2</v>
      </c>
    </row>
    <row r="89" spans="1:2" ht="15">
      <c r="A89" s="113" t="s">
        <v>395</v>
      </c>
      <c r="B89" s="112">
        <v>2</v>
      </c>
    </row>
    <row r="92" spans="1:2" ht="15" customHeight="1">
      <c r="A92" s="7" t="s">
        <v>2400</v>
      </c>
      <c r="B92" s="7" t="s">
        <v>2358</v>
      </c>
    </row>
    <row r="93" spans="1:2" ht="15">
      <c r="A93" s="118" t="s">
        <v>382</v>
      </c>
      <c r="B93" s="112">
        <v>1505797</v>
      </c>
    </row>
    <row r="94" spans="1:2" ht="15">
      <c r="A94" s="120" t="s">
        <v>330</v>
      </c>
      <c r="B94" s="112">
        <v>1256926</v>
      </c>
    </row>
    <row r="95" spans="1:2" ht="15">
      <c r="A95" s="120" t="s">
        <v>467</v>
      </c>
      <c r="B95" s="112">
        <v>1255303</v>
      </c>
    </row>
    <row r="96" spans="1:2" ht="15">
      <c r="A96" s="120" t="s">
        <v>286</v>
      </c>
      <c r="B96" s="112">
        <v>1095152</v>
      </c>
    </row>
    <row r="97" spans="1:2" ht="15">
      <c r="A97" s="120" t="s">
        <v>335</v>
      </c>
      <c r="B97" s="112">
        <v>786418</v>
      </c>
    </row>
    <row r="98" spans="1:2" ht="15">
      <c r="A98" s="120" t="s">
        <v>350</v>
      </c>
      <c r="B98" s="112">
        <v>728705</v>
      </c>
    </row>
    <row r="99" spans="1:2" ht="15">
      <c r="A99" s="120" t="s">
        <v>345</v>
      </c>
      <c r="B99" s="112">
        <v>409742</v>
      </c>
    </row>
    <row r="100" spans="1:2" ht="15">
      <c r="A100" s="120" t="s">
        <v>361</v>
      </c>
      <c r="B100" s="112">
        <v>386974</v>
      </c>
    </row>
    <row r="101" spans="1:2" ht="15">
      <c r="A101" s="120" t="s">
        <v>222</v>
      </c>
      <c r="B101" s="112">
        <v>353593</v>
      </c>
    </row>
    <row r="102" spans="1:2" ht="15">
      <c r="A102" s="120" t="s">
        <v>470</v>
      </c>
      <c r="B102" s="112">
        <v>329633</v>
      </c>
    </row>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s>
  <printOptions/>
  <pageMargins left="0.7" right="0.7" top="0.75" bottom="0.75" header="0.3" footer="0.3"/>
  <pageSetup orientation="portrait" paperSize="9"/>
  <tableParts>
    <tablePart r:id="rId13"/>
    <tablePart r:id="rId17"/>
    <tablePart r:id="rId18"/>
    <tablePart r:id="rId14"/>
    <tablePart r:id="rId12"/>
    <tablePart r:id="rId15"/>
    <tablePart r:id="rId16"/>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CE6BE-2DF7-4616-A3A1-DE91BBA032B9}">
  <dimension ref="A1:B7"/>
  <sheetViews>
    <sheetView workbookViewId="0" topLeftCell="A4"/>
  </sheetViews>
  <sheetFormatPr defaultColWidth="9.140625" defaultRowHeight="15"/>
  <cols>
    <col min="1" max="1" width="6.57421875" style="0" bestFit="1" customWidth="1"/>
    <col min="2" max="2" width="8.421875" style="0" bestFit="1" customWidth="1"/>
  </cols>
  <sheetData>
    <row r="1" spans="1:2" ht="15" customHeight="1">
      <c r="A1" s="7" t="s">
        <v>2609</v>
      </c>
      <c r="B1" s="7" t="s">
        <v>17</v>
      </c>
    </row>
    <row r="2" spans="1:2" ht="15">
      <c r="A2" s="112" t="s">
        <v>2610</v>
      </c>
      <c r="B2" s="112"/>
    </row>
    <row r="3" spans="1:2" ht="15">
      <c r="A3" s="113" t="s">
        <v>2611</v>
      </c>
      <c r="B3" s="112"/>
    </row>
    <row r="4" spans="1:2" ht="15">
      <c r="A4" s="113" t="s">
        <v>2612</v>
      </c>
      <c r="B4" s="112"/>
    </row>
    <row r="5" spans="1:2" ht="15">
      <c r="A5" s="113" t="s">
        <v>2613</v>
      </c>
      <c r="B5" s="112"/>
    </row>
    <row r="6" spans="1:2" ht="15">
      <c r="A6" s="113" t="s">
        <v>2614</v>
      </c>
      <c r="B6" s="112"/>
    </row>
    <row r="7" spans="1:2" ht="15">
      <c r="A7" s="113" t="s">
        <v>1515</v>
      </c>
      <c r="B7" s="11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F364EB9-6D60-467E-B8D2-E71509ACFF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M-SI</cp:lastModifiedBy>
  <dcterms:created xsi:type="dcterms:W3CDTF">2008-01-30T00:41:58Z</dcterms:created>
  <dcterms:modified xsi:type="dcterms:W3CDTF">2024-02-27T16:40:03Z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